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8.xml.rels" ContentType="application/vnd.openxmlformats-package.relationships+xml"/>
  <Override PartName="/xl/worksheets/_rels/sheet21.xml.rels" ContentType="application/vnd.openxmlformats-package.relationships+xml"/>
  <Override PartName="/xl/worksheets/_rels/sheet6.xml.rels" ContentType="application/vnd.openxmlformats-package.relationships+xml"/>
  <Override PartName="/xl/worksheets/_rels/sheet18.xml.rels" ContentType="application/vnd.openxmlformats-package.relationships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Form Responses 1" sheetId="1" state="visible" r:id="rId2"/>
    <sheet name="2017-2018" sheetId="2" state="visible" r:id="rId3"/>
    <sheet name="2016-2017 " sheetId="3" state="visible" r:id="rId4"/>
    <sheet name="2015-2016" sheetId="4" state="visible" r:id="rId5"/>
    <sheet name="2014-2015" sheetId="5" state="visible" r:id="rId6"/>
    <sheet name="2013-2014" sheetId="6" state="visible" r:id="rId7"/>
    <sheet name="2012-2013" sheetId="7" state="visible" r:id="rId8"/>
    <sheet name="2011-2012" sheetId="8" state="visible" r:id="rId9"/>
    <sheet name="2010-2011" sheetId="9" state="visible" r:id="rId10"/>
    <sheet name="2009-2010" sheetId="10" state="visible" r:id="rId11"/>
    <sheet name="2008-2009" sheetId="11" state="visible" r:id="rId12"/>
    <sheet name="2007-2008" sheetId="12" state="visible" r:id="rId13"/>
    <sheet name="2006-2007" sheetId="13" state="visible" r:id="rId14"/>
    <sheet name="2005-2006" sheetId="14" state="visible" r:id="rId15"/>
    <sheet name="2004-2005" sheetId="15" state="visible" r:id="rId16"/>
    <sheet name="2003-2004" sheetId="16" state="visible" r:id="rId17"/>
    <sheet name="2002-2003" sheetId="17" state="visible" r:id="rId18"/>
    <sheet name="2001-2002" sheetId="18" state="visible" r:id="rId19"/>
    <sheet name="2000-2001" sheetId="19" state="visible" r:id="rId20"/>
    <sheet name="1999-2000" sheetId="20" state="visible" r:id="rId21"/>
    <sheet name="1998-1999" sheetId="21" state="visible" r:id="rId22"/>
    <sheet name="1997-1998" sheetId="22" state="visible" r:id="rId23"/>
  </sheets>
  <definedNames>
    <definedName function="false" hidden="true" localSheetId="3" name="_xlnm._FilterDatabase" vbProcedure="false">'2015-2016'!$A$2:$P$71</definedName>
    <definedName function="false" hidden="false" name="NamedRange1" vbProcedure="false">'2011-2012'!$P$10:$P$17</definedName>
    <definedName function="false" hidden="false" name="NamedRange2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color rgb="FF000000"/>
            <rFont val="Arial"/>
            <family val="0"/>
            <charset val="1"/>
          </rPr>
          <t xml:space="preserve">I put this stuff in but it might not have been the most updated thing so if you are using this variables you will want to double check.
	-Neil Dalal</t>
        </r>
      </text>
    </comment>
  </commentList>
</comments>
</file>

<file path=xl/sharedStrings.xml><?xml version="1.0" encoding="utf-8"?>
<sst xmlns="http://schemas.openxmlformats.org/spreadsheetml/2006/main" count="2561" uniqueCount="853">
  <si>
    <t xml:space="preserve">Timestamp</t>
  </si>
  <si>
    <t xml:space="preserve">Untitled Question</t>
  </si>
  <si>
    <t xml:space="preserve">Team Name</t>
  </si>
  <si>
    <t xml:space="preserve">kaggle id</t>
  </si>
  <si>
    <t xml:space="preserve"># of tournament wins</t>
  </si>
  <si>
    <t xml:space="preserve">seed</t>
  </si>
  <si>
    <t xml:space="preserve">Coaching Final Four Appearances (square root)</t>
  </si>
  <si>
    <t xml:space="preserve">Wins Against Tournament Teams (square root)</t>
  </si>
  <si>
    <t xml:space="preserve">Major Conference</t>
  </si>
  <si>
    <t xml:space="preserve">Steals pg</t>
  </si>
  <si>
    <t xml:space="preserve">True Shoot %</t>
  </si>
  <si>
    <t xml:space="preserve">Terry Rank</t>
  </si>
  <si>
    <t xml:space="preserve">Defensive Rebounds Per Game</t>
  </si>
  <si>
    <t xml:space="preserve">Offensive Rating</t>
  </si>
  <si>
    <t xml:space="preserve">Defensive Rating</t>
  </si>
  <si>
    <t xml:space="preserve">TSP</t>
  </si>
  <si>
    <t xml:space="preserve">Free Throw %</t>
  </si>
  <si>
    <t xml:space="preserve">Adj. Off-Def</t>
  </si>
  <si>
    <t xml:space="preserve">3PA/Min</t>
  </si>
  <si>
    <t xml:space="preserve">3P%</t>
  </si>
  <si>
    <t xml:space="preserve">Virginia</t>
  </si>
  <si>
    <t xml:space="preserve">UMBC</t>
  </si>
  <si>
    <t xml:space="preserve">Creighton</t>
  </si>
  <si>
    <t xml:space="preserve">Kansas St</t>
  </si>
  <si>
    <t xml:space="preserve">Kentucky</t>
  </si>
  <si>
    <t xml:space="preserve">Davidson</t>
  </si>
  <si>
    <t xml:space="preserve">Arizona</t>
  </si>
  <si>
    <t xml:space="preserve">Buffalo</t>
  </si>
  <si>
    <t xml:space="preserve">Miami (Fla)</t>
  </si>
  <si>
    <t xml:space="preserve">Loyola Chicago</t>
  </si>
  <si>
    <t xml:space="preserve">Tennesee</t>
  </si>
  <si>
    <t xml:space="preserve">Wright St</t>
  </si>
  <si>
    <t xml:space="preserve">Nevada</t>
  </si>
  <si>
    <t xml:space="preserve">Texas</t>
  </si>
  <si>
    <t xml:space="preserve">Cincinnati</t>
  </si>
  <si>
    <t xml:space="preserve">Georgia St</t>
  </si>
  <si>
    <t xml:space="preserve">Xavier</t>
  </si>
  <si>
    <t xml:space="preserve">NC Central</t>
  </si>
  <si>
    <t xml:space="preserve">TX Southern</t>
  </si>
  <si>
    <t xml:space="preserve">Missouri</t>
  </si>
  <si>
    <t xml:space="preserve">Florida St</t>
  </si>
  <si>
    <t xml:space="preserve">Ohio State</t>
  </si>
  <si>
    <t xml:space="preserve">S Dakota St</t>
  </si>
  <si>
    <t xml:space="preserve">Gonzaga</t>
  </si>
  <si>
    <t xml:space="preserve">UNC Greensboro</t>
  </si>
  <si>
    <t xml:space="preserve">Houston</t>
  </si>
  <si>
    <t xml:space="preserve">San Diego St</t>
  </si>
  <si>
    <t xml:space="preserve">Michigan</t>
  </si>
  <si>
    <t xml:space="preserve">Montana</t>
  </si>
  <si>
    <t xml:space="preserve">Texas A&amp;M</t>
  </si>
  <si>
    <t xml:space="preserve">Providence</t>
  </si>
  <si>
    <t xml:space="preserve">North Carolina</t>
  </si>
  <si>
    <t xml:space="preserve">Lipscomb</t>
  </si>
  <si>
    <t xml:space="preserve">VIllanova</t>
  </si>
  <si>
    <t xml:space="preserve">Brooklyn</t>
  </si>
  <si>
    <t xml:space="preserve">Radford</t>
  </si>
  <si>
    <t xml:space="preserve">Virginia Tech</t>
  </si>
  <si>
    <t xml:space="preserve">Alabama</t>
  </si>
  <si>
    <t xml:space="preserve">West Virginia</t>
  </si>
  <si>
    <t xml:space="preserve">Murray St</t>
  </si>
  <si>
    <t xml:space="preserve">Wichita St</t>
  </si>
  <si>
    <t xml:space="preserve">Marshall</t>
  </si>
  <si>
    <t xml:space="preserve">Florida</t>
  </si>
  <si>
    <t xml:space="preserve">St. Bonaventure</t>
  </si>
  <si>
    <t xml:space="preserve">UCLA</t>
  </si>
  <si>
    <t xml:space="preserve">Texas Tech</t>
  </si>
  <si>
    <t xml:space="preserve">SF Austin</t>
  </si>
  <si>
    <t xml:space="preserve">Arkansas</t>
  </si>
  <si>
    <t xml:space="preserve">Butler</t>
  </si>
  <si>
    <t xml:space="preserve">Purdue</t>
  </si>
  <si>
    <t xml:space="preserve">CS Fullerton</t>
  </si>
  <si>
    <t xml:space="preserve">Kansas</t>
  </si>
  <si>
    <t xml:space="preserve">Penn</t>
  </si>
  <si>
    <t xml:space="preserve">Seton Hall</t>
  </si>
  <si>
    <t xml:space="preserve">NC State</t>
  </si>
  <si>
    <t xml:space="preserve">Clemson</t>
  </si>
  <si>
    <t xml:space="preserve">New Mexico St</t>
  </si>
  <si>
    <t xml:space="preserve">Auburn</t>
  </si>
  <si>
    <t xml:space="preserve">Coll Charleston</t>
  </si>
  <si>
    <t xml:space="preserve">TCU</t>
  </si>
  <si>
    <t xml:space="preserve">Arizona St</t>
  </si>
  <si>
    <t xml:space="preserve">Syracuse</t>
  </si>
  <si>
    <t xml:space="preserve">MIchigan State</t>
  </si>
  <si>
    <t xml:space="preserve">Bucknell</t>
  </si>
  <si>
    <t xml:space="preserve">Rhode Island</t>
  </si>
  <si>
    <t xml:space="preserve">Oklahoma</t>
  </si>
  <si>
    <t xml:space="preserve">Duke</t>
  </si>
  <si>
    <t xml:space="preserve">Iona</t>
  </si>
  <si>
    <t xml:space="preserve">    </t>
  </si>
  <si>
    <t xml:space="preserve"> </t>
  </si>
  <si>
    <t xml:space="preserve">  </t>
  </si>
  <si>
    <t xml:space="preserve">you cannot edit this cell</t>
  </si>
  <si>
    <t xml:space="preserve">oh no</t>
  </si>
  <si>
    <t xml:space="preserve">:/</t>
  </si>
  <si>
    <t xml:space="preserve">Coach Tourney Appearances </t>
  </si>
  <si>
    <t xml:space="preserve">SRS </t>
  </si>
  <si>
    <t xml:space="preserve">Strength of Schedule</t>
  </si>
  <si>
    <t xml:space="preserve">Win %</t>
  </si>
  <si>
    <t xml:space="preserve">Coach sweet 16 appearances</t>
  </si>
  <si>
    <t xml:space="preserve">Turnovers per game </t>
  </si>
  <si>
    <t xml:space="preserve">Wins Last 10 Games </t>
  </si>
  <si>
    <t xml:space="preserve">Won a Major Conference</t>
  </si>
  <si>
    <t xml:space="preserve">Baylor</t>
  </si>
  <si>
    <t xml:space="preserve">Dayton</t>
  </si>
  <si>
    <t xml:space="preserve">ETSU</t>
  </si>
  <si>
    <t xml:space="preserve">FL Gulf Coast</t>
  </si>
  <si>
    <t xml:space="preserve">Iowa St</t>
  </si>
  <si>
    <t xml:space="preserve">Jacksonville St</t>
  </si>
  <si>
    <t xml:space="preserve">Kent St</t>
  </si>
  <si>
    <t xml:space="preserve">Louisville</t>
  </si>
  <si>
    <t xml:space="preserve">Marquette</t>
  </si>
  <si>
    <t xml:space="preserve">Maryland</t>
  </si>
  <si>
    <t xml:space="preserve">Miami FL</t>
  </si>
  <si>
    <t xml:space="preserve">Michigan St</t>
  </si>
  <si>
    <t xml:space="preserve">Minnesota</t>
  </si>
  <si>
    <t xml:space="preserve">Mt St Mary's</t>
  </si>
  <si>
    <t xml:space="preserve">MTSU</t>
  </si>
  <si>
    <t xml:space="preserve">N Kentucky</t>
  </si>
  <si>
    <t xml:space="preserve">New Orleans</t>
  </si>
  <si>
    <t xml:space="preserve">North Dakota</t>
  </si>
  <si>
    <t xml:space="preserve">Northwestern</t>
  </si>
  <si>
    <t xml:space="preserve">Notre Dame</t>
  </si>
  <si>
    <t xml:space="preserve">Oklahoma St</t>
  </si>
  <si>
    <t xml:space="preserve">Oregon</t>
  </si>
  <si>
    <t xml:space="preserve">Princeton</t>
  </si>
  <si>
    <t xml:space="preserve">SMU</t>
  </si>
  <si>
    <t xml:space="preserve">South Carolina</t>
  </si>
  <si>
    <t xml:space="preserve">St Mary's CA</t>
  </si>
  <si>
    <t xml:space="preserve">Troy</t>
  </si>
  <si>
    <t xml:space="preserve">UC Davis</t>
  </si>
  <si>
    <t xml:space="preserve">UNC Wilmington</t>
  </si>
  <si>
    <t xml:space="preserve">USC</t>
  </si>
  <si>
    <t xml:space="preserve">VA Commonwealth</t>
  </si>
  <si>
    <t xml:space="preserve">Vanderbilt</t>
  </si>
  <si>
    <t xml:space="preserve">Vermont</t>
  </si>
  <si>
    <t xml:space="preserve">Villanova</t>
  </si>
  <si>
    <t xml:space="preserve">Wake Forest</t>
  </si>
  <si>
    <t xml:space="preserve">Winthrop</t>
  </si>
  <si>
    <t xml:space="preserve">Wisconsin</t>
  </si>
  <si>
    <t xml:space="preserve">Tournament wins</t>
  </si>
  <si>
    <t xml:space="preserve">SRS</t>
  </si>
  <si>
    <t xml:space="preserve">Adj Off Efficiency kenpom.com</t>
  </si>
  <si>
    <t xml:space="preserve">Adj Def Efficiency kenpom.com</t>
  </si>
  <si>
    <t xml:space="preserve">Adj Off-Def</t>
  </si>
  <si>
    <t xml:space="preserve">Average Scoring margin</t>
  </si>
  <si>
    <t xml:space="preserve">Coach Record http://www.sports-reference.com/cbb/seasons/2016-coaches.html</t>
  </si>
  <si>
    <t xml:space="preserve">Turnovers Per Game</t>
  </si>
  <si>
    <t xml:space="preserve">Wins Against Tournament Teams</t>
  </si>
  <si>
    <t xml:space="preserve">Major Conference?</t>
  </si>
  <si>
    <t xml:space="preserve">FG%</t>
  </si>
  <si>
    <t xml:space="preserve">Seed</t>
  </si>
  <si>
    <t xml:space="preserve">RPI</t>
  </si>
  <si>
    <t xml:space="preserve">Last 10 Games</t>
  </si>
  <si>
    <t xml:space="preserve">Points Allowed per Game</t>
  </si>
  <si>
    <t xml:space="preserve">Games Played</t>
  </si>
  <si>
    <t xml:space="preserve">Coach final four appearance</t>
  </si>
  <si>
    <t xml:space="preserve">AP poll</t>
  </si>
  <si>
    <t xml:space="preserve">Rebounds</t>
  </si>
  <si>
    <t xml:space="preserve">Coach Sweet 16 Entries</t>
  </si>
  <si>
    <t xml:space="preserve">Coach tourney appearances</t>
  </si>
  <si>
    <t xml:space="preserve">Winning %</t>
  </si>
  <si>
    <t xml:space="preserve">Source</t>
  </si>
  <si>
    <t xml:space="preserve">http://www.sports-reference.com/cbb/schools/</t>
  </si>
  <si>
    <t xml:space="preserve">kenpom.com</t>
  </si>
  <si>
    <t xml:space="preserve">http://www.ncaa.com/stats/basketball-men/d1/current/team/147/p4</t>
  </si>
  <si>
    <t xml:space="preserve">http://www.cbssports.com/collegebasketball/bracketology/sos</t>
  </si>
  <si>
    <t xml:space="preserve">http://www.sports-reference.com/cbb/seasons/2016-coaches.html</t>
  </si>
  <si>
    <t xml:space="preserve">http://www.ncaa.com/stats/basketball-men/d1/current/team/217</t>
  </si>
  <si>
    <t xml:space="preserve">http://espn.go.com/mens-college-basketball/team/schedule/_/id/275/wisconsin-badgers, http://fivethirtyeight.com/features/how-fivethirtyeight-is-forecasting-the-2016-ncaa-tournament/</t>
  </si>
  <si>
    <t xml:space="preserve">http://espn.go.com/mens-college-basketball/teams</t>
  </si>
  <si>
    <t xml:space="preserve">http://www.sports-reference.com/cbb/seasons/2016-school-stats.html</t>
  </si>
  <si>
    <t xml:space="preserve">http://i.turner.ncaa.com/sites/default/files/external/printable-bracket/2016/bracket-ncaa.pdf</t>
  </si>
  <si>
    <t xml:space="preserve">http://espn.go.com/mens-college-basketball/rpi/_/sort/RPI</t>
  </si>
  <si>
    <t xml:space="preserve">https://www.teamrankings.com/ncaa-basketball/ranking/last-10-games-by-other</t>
  </si>
  <si>
    <t xml:space="preserve">https://www.teamrankings.com/ncaa-basketball/stat/opponent-points-per-game</t>
  </si>
  <si>
    <t xml:space="preserve">http://espn.go.com/mens-college-basketball/statistics/team/_/stat/scoring-per-game/sort/gamesPlayed</t>
  </si>
  <si>
    <t xml:space="preserve">http://warrennolan.com/basketball/2016/polls/week/</t>
  </si>
  <si>
    <t xml:space="preserve">Ark Little Rock</t>
  </si>
  <si>
    <t xml:space="preserve">Austin Peay</t>
  </si>
  <si>
    <t xml:space="preserve">California</t>
  </si>
  <si>
    <t xml:space="preserve">Chattanooga</t>
  </si>
  <si>
    <t xml:space="preserve">Colorado</t>
  </si>
  <si>
    <t xml:space="preserve">Connecticut</t>
  </si>
  <si>
    <t xml:space="preserve">CS Bakersfield</t>
  </si>
  <si>
    <t xml:space="preserve">Fairleigh Dickinson</t>
  </si>
  <si>
    <t xml:space="preserve">Florida Gulf Coast</t>
  </si>
  <si>
    <t xml:space="preserve">Fresno State</t>
  </si>
  <si>
    <t xml:space="preserve">Hampton</t>
  </si>
  <si>
    <t xml:space="preserve">Hawaii</t>
  </si>
  <si>
    <t xml:space="preserve">Holy Cross</t>
  </si>
  <si>
    <t xml:space="preserve">Indiana</t>
  </si>
  <si>
    <t xml:space="preserve">Iowa</t>
  </si>
  <si>
    <t xml:space="preserve">Iowa State</t>
  </si>
  <si>
    <t xml:space="preserve">Miami (FL)</t>
  </si>
  <si>
    <t xml:space="preserve">Michigan State</t>
  </si>
  <si>
    <t xml:space="preserve">Northern Iowa</t>
  </si>
  <si>
    <t xml:space="preserve">Oregon State</t>
  </si>
  <si>
    <t xml:space="preserve">Pittsburgh</t>
  </si>
  <si>
    <t xml:space="preserve">South Dakota State</t>
  </si>
  <si>
    <t xml:space="preserve">Southern</t>
  </si>
  <si>
    <t xml:space="preserve">St. Josephs</t>
  </si>
  <si>
    <t xml:space="preserve">Stony Brook</t>
  </si>
  <si>
    <t xml:space="preserve">Temple</t>
  </si>
  <si>
    <t xml:space="preserve">Tennessee St.</t>
  </si>
  <si>
    <t xml:space="preserve">Tulsa</t>
  </si>
  <si>
    <t xml:space="preserve">UNC Asheville</t>
  </si>
  <si>
    <t xml:space="preserve">Utah</t>
  </si>
  <si>
    <t xml:space="preserve">VCU</t>
  </si>
  <si>
    <t xml:space="preserve">Weber State</t>
  </si>
  <si>
    <t xml:space="preserve">WI Green Bay</t>
  </si>
  <si>
    <t xml:space="preserve">Wichita State</t>
  </si>
  <si>
    <t xml:space="preserve">Yale</t>
  </si>
  <si>
    <t xml:space="preserve">http://fivethirtyeight.com/features/how-fivethirtyeight-is-forecasting-the-2016-ncaa-tournament/</t>
  </si>
  <si>
    <t xml:space="preserve">Tournament Wins</t>
  </si>
  <si>
    <t xml:space="preserve">Adj Off-Def Eff (kenpom.com)</t>
  </si>
  <si>
    <t xml:space="preserve">Won Major Conference?</t>
  </si>
  <si>
    <t xml:space="preserve">Field Goal Percentage (http://www.ncaa.com/stats/basketball-men/d1/current/team/148)</t>
  </si>
  <si>
    <t xml:space="preserve">Win % in Close Games (5 pts or fewer)</t>
  </si>
  <si>
    <t xml:space="preserve">Wins Last 10 Games</t>
  </si>
  <si>
    <t xml:space="preserve">Points Allowed per game (http://www.ncaa.com/stats/basketball-men/d1/current/team/146)</t>
  </si>
  <si>
    <t xml:space="preserve">Coaching Record</t>
  </si>
  <si>
    <t xml:space="preserve">Wins against tournament teams</t>
  </si>
  <si>
    <t xml:space="preserve">Blocked shots per game</t>
  </si>
  <si>
    <t xml:space="preserve">Points scored per game</t>
  </si>
  <si>
    <t xml:space="preserve">Assists per game</t>
  </si>
  <si>
    <t xml:space="preserve">Strength of Schedule http://www.cbssports.com/collegebasketball/bracketology/sos</t>
  </si>
  <si>
    <t xml:space="preserve">Distance to first round games (miles) http://www.distance-cities.com/search?from=Lexington%2C+KY%2C+United+States&amp;to=Louisville</t>
  </si>
  <si>
    <t xml:space="preserve">Free throw percentage http://www.teamrankings.com/ncaa-basketball/stat/free-throw-pct
</t>
  </si>
  <si>
    <t xml:space="preserve">Win percentage http://www.teamrankings.com/ncaa-basketball/team-stat/winning-percentage</t>
  </si>
  <si>
    <t xml:space="preserve">average scoring margin</t>
  </si>
  <si>
    <t xml:space="preserve">Points from 3 point shots / all points</t>
  </si>
  <si>
    <t xml:space="preserve">Ranked Preseason?</t>
  </si>
  <si>
    <t xml:space="preserve">Rebounds per Game</t>
  </si>
  <si>
    <t xml:space="preserve">total points (in season) http://www.sports-reference.com/cbb/seasons/2015-school-stats.html</t>
  </si>
  <si>
    <t xml:space="preserve">Final Four appearances in coaches career http://www.sports-reference.com/cbb/seasons/2015-coaches.html</t>
  </si>
  <si>
    <t xml:space="preserve">Coach Tourney Appearances http://www.sports-reference.com/cbb/seasons/2015-coaches.html</t>
  </si>
  <si>
    <t xml:space="preserve">coach sweet 16 http://www.sports-reference.com/cbb/seasons/2015-coaches.html</t>
  </si>
  <si>
    <t xml:space="preserve">Total Experience of Top Six Minute Getters</t>
  </si>
  <si>
    <t xml:space="preserve">offensive rebounds http://www.teamrankings.com/ncaa-basketball/team-stat/rebounding-category</t>
  </si>
  <si>
    <t xml:space="preserve">Albany</t>
  </si>
  <si>
    <t xml:space="preserve">Belmont</t>
  </si>
  <si>
    <t xml:space="preserve">Boise State</t>
  </si>
  <si>
    <t xml:space="preserve">BYU</t>
  </si>
  <si>
    <t xml:space="preserve">Coastal Carolina</t>
  </si>
  <si>
    <t xml:space="preserve">davidson</t>
  </si>
  <si>
    <t xml:space="preserve">Eastern Washington</t>
  </si>
  <si>
    <t xml:space="preserve">Georgetown</t>
  </si>
  <si>
    <t xml:space="preserve">Georgia</t>
  </si>
  <si>
    <t xml:space="preserve">Georgia State</t>
  </si>
  <si>
    <t xml:space="preserve">Harvard</t>
  </si>
  <si>
    <t xml:space="preserve">Lafayette</t>
  </si>
  <si>
    <t xml:space="preserve">LSU</t>
  </si>
  <si>
    <t xml:space="preserve">Manhattan</t>
  </si>
  <si>
    <t xml:space="preserve">Mississippi</t>
  </si>
  <si>
    <t xml:space="preserve">New Mexico State</t>
  </si>
  <si>
    <t xml:space="preserve">North Dakota State</t>
  </si>
  <si>
    <t xml:space="preserve">North Florida</t>
  </si>
  <si>
    <t xml:space="preserve">Northeastern</t>
  </si>
  <si>
    <t xml:space="preserve">Oklahoma State</t>
  </si>
  <si>
    <t xml:space="preserve">Robert Morris</t>
  </si>
  <si>
    <t xml:space="preserve">San Diego State</t>
  </si>
  <si>
    <t xml:space="preserve">St. John's</t>
  </si>
  <si>
    <t xml:space="preserve">Stephen F. Austin</t>
  </si>
  <si>
    <t xml:space="preserve">texas southern</t>
  </si>
  <si>
    <t xml:space="preserve">UAB</t>
  </si>
  <si>
    <t xml:space="preserve">UC Irvine</t>
  </si>
  <si>
    <t xml:space="preserve">UNI</t>
  </si>
  <si>
    <t xml:space="preserve">Valparaiso</t>
  </si>
  <si>
    <t xml:space="preserve">-</t>
  </si>
  <si>
    <t xml:space="preserve">Wofford</t>
  </si>
  <si>
    <t xml:space="preserve">Wyoming</t>
  </si>
  <si>
    <t xml:space="preserve">Team Names</t>
  </si>
  <si>
    <t xml:space="preserve">Tournament Wins (RESPONSE VARIABLE)</t>
  </si>
  <si>
    <t xml:space="preserve">Wins against Tournament Teams</t>
  </si>
  <si>
    <t xml:space="preserve">Margin of Victory/Loss</t>
  </si>
  <si>
    <t xml:space="preserve">Won a Major Conference? (Tournament NOT Regular Season)</t>
  </si>
  <si>
    <t xml:space="preserve">Offensive-Defensive Efficency (Double Check for Latest Games)</t>
  </si>
  <si>
    <t xml:space="preserve">Winning % in Close Games (5 points or fewer) (Double Check for Latest Games))</t>
  </si>
  <si>
    <t xml:space="preserve">Total Experience of Top 6 Minute Getters (Years)</t>
  </si>
  <si>
    <t xml:space="preserve">Total Points (in Season)</t>
  </si>
  <si>
    <t xml:space="preserve">Number of 3 Pt FG's</t>
  </si>
  <si>
    <t xml:space="preserve">Points from 3 Point Shots / All Points</t>
  </si>
  <si>
    <t xml:space="preserve">Number of Wins In Last 10 Games (Including Conference Tournament Games)</t>
  </si>
  <si>
    <t xml:space="preserve">Strength of Efficiency</t>
  </si>
  <si>
    <t xml:space="preserve">tournament appearances last 3 years</t>
  </si>
  <si>
    <t xml:space="preserve">points per game</t>
  </si>
  <si>
    <t xml:space="preserve">points allowed per game</t>
  </si>
  <si>
    <t xml:space="preserve">free throw %</t>
  </si>
  <si>
    <t xml:space="preserve">off rebounds per game</t>
  </si>
  <si>
    <t xml:space="preserve">total rebounds</t>
  </si>
  <si>
    <t xml:space="preserve">Coach Career Record</t>
  </si>
  <si>
    <t xml:space="preserve">Coach Total Pay</t>
  </si>
  <si>
    <t xml:space="preserve">Coach Max Bonus</t>
  </si>
  <si>
    <t xml:space="preserve">Coach Tournament Entries</t>
  </si>
  <si>
    <t xml:space="preserve">Coach Final 4 Entries</t>
  </si>
  <si>
    <t xml:space="preserve">Turnovers per game</t>
  </si>
  <si>
    <t xml:space="preserve">Blocked shots</t>
  </si>
  <si>
    <t xml:space="preserve">Sources</t>
  </si>
  <si>
    <t xml:space="preserve">http://www.ncaa.com/stats/basketball-men/d1/current/team/168</t>
  </si>
  <si>
    <t xml:space="preserve">Look it up http://sports.yahoo.com/ncaa/basketball/standings</t>
  </si>
  <si>
    <t xml:space="preserve">http://www.ncaa.com/stats/basketball-men/d1/current/team/147</t>
  </si>
  <si>
    <t xml:space="preserve">ACC, SEC, Big East, Big 10, Big 12, PAC 12, American Athletic</t>
  </si>
  <si>
    <t xml:space="preserve">http://kenpom.com/ (Do AdjO-AdjD)</t>
  </si>
  <si>
    <t xml:space="preserve">http://www.teamrankings.com/ncaa-basketball/stat/win-pct-close-games</t>
  </si>
  <si>
    <t xml:space="preserve">ESPN</t>
  </si>
  <si>
    <t xml:space="preserve">http://www.sports-reference.com/cbb/seasons/2014-school-stats.html</t>
  </si>
  <si>
    <t xml:space="preserve">Left Two Columns + Arithmetic</t>
  </si>
  <si>
    <t xml:space="preserve">http://www.teamrankings.com/ncaa-basketball/team-stat/scoring-category</t>
  </si>
  <si>
    <t xml:space="preserve">http://www.teamrankings.com/ncaa-basketball/stat/opponent-points-per-game?date=2014-04-07</t>
  </si>
  <si>
    <t xml:space="preserve">http://espn.go.com/mens-college-basketball/statistics/team/_/stat/free-throws/year/2014</t>
  </si>
  <si>
    <t xml:space="preserve">http://www.teamrankings.com/ncaa-basketball/stat/opponent-offensive-rebounds-per-game?date=2014-04-07</t>
  </si>
  <si>
    <t xml:space="preserve">http://www.teamrankings.com/ncaa-basketball/stat/total-rebounds-per-game?date=2014-04-07</t>
  </si>
  <si>
    <t xml:space="preserve">http://www.teamrankings.com/ncaa-basketball/stat/average-scoring-margin?date=2014-04-07</t>
  </si>
  <si>
    <t xml:space="preserve">http://www.sports-reference.com/cbb/seasons/2014-coaches.html</t>
  </si>
  <si>
    <t xml:space="preserve">http://sports.usatoday.com/ncaa/salaries/mens-basketball/coach</t>
  </si>
  <si>
    <t xml:space="preserve">http://web1.ncaa.org/stats/StatsSrv/rankings</t>
  </si>
  <si>
    <t xml:space="preserve">American</t>
  </si>
  <si>
    <t xml:space="preserve">Arizona State</t>
  </si>
  <si>
    <t xml:space="preserve">Cal Poly</t>
  </si>
  <si>
    <t xml:space="preserve">Delaware</t>
  </si>
  <si>
    <t xml:space="preserve">Eastern Kentucky</t>
  </si>
  <si>
    <t xml:space="preserve">George Washington</t>
  </si>
  <si>
    <t xml:space="preserve">Kansas State</t>
  </si>
  <si>
    <t xml:space="preserve">LA Lafayette </t>
  </si>
  <si>
    <t xml:space="preserve">Massachusetts (Umass)</t>
  </si>
  <si>
    <t xml:space="preserve">Memphis</t>
  </si>
  <si>
    <t xml:space="preserve">Mercer</t>
  </si>
  <si>
    <t xml:space="preserve">Milwaukee (WI-MIlwaukee)</t>
  </si>
  <si>
    <t xml:space="preserve">Mount St. Mary's</t>
  </si>
  <si>
    <t xml:space="preserve">Nebraska</t>
  </si>
  <si>
    <t xml:space="preserve">New Mexico</t>
  </si>
  <si>
    <t xml:space="preserve">North Carolina Central</t>
  </si>
  <si>
    <t xml:space="preserve">North Carolina State</t>
  </si>
  <si>
    <t xml:space="preserve">Saint Louis</t>
  </si>
  <si>
    <t xml:space="preserve">St. Joseph's</t>
  </si>
  <si>
    <t xml:space="preserve">Stanford</t>
  </si>
  <si>
    <t xml:space="preserve">Tennessee</t>
  </si>
  <si>
    <t xml:space="preserve">Texas Southern</t>
  </si>
  <si>
    <t xml:space="preserve">Western Michigan</t>
  </si>
  <si>
    <t xml:space="preserve">Blanks in these columns mean the data was unavailable</t>
  </si>
  <si>
    <t xml:space="preserve">Winning Percentage</t>
  </si>
  <si>
    <t xml:space="preserve">Off-Def Efficiency</t>
  </si>
  <si>
    <t xml:space="preserve">Winning Percentage in Close Games (Within 5 pts)</t>
  </si>
  <si>
    <t xml:space="preserve">Number of Wins of Last 10 Game</t>
  </si>
  <si>
    <t xml:space="preserve">Average Points per Game</t>
  </si>
  <si>
    <t xml:space="preserve">Turnover Rate</t>
  </si>
  <si>
    <t xml:space="preserve">Won Conference?</t>
  </si>
  <si>
    <t xml:space="preserve">Regular Season Wins Against Tournament Teams </t>
  </si>
  <si>
    <t xml:space="preserve">Regular Season Losses Against Tournament Teams</t>
  </si>
  <si>
    <t xml:space="preserve">Free t Throw Percentage</t>
  </si>
  <si>
    <t xml:space="preserve">Turnovers </t>
  </si>
  <si>
    <t xml:space="preserve">Percentage of Offensive Rebounds</t>
  </si>
  <si>
    <t xml:space="preserve">Offensive Rebounds Per Game</t>
  </si>
  <si>
    <t xml:space="preserve">Total rebounds</t>
  </si>
  <si>
    <t xml:space="preserve">Average Scoring Margin 
</t>
  </si>
  <si>
    <t xml:space="preserve">Average Attendance </t>
  </si>
  <si>
    <t xml:space="preserve">win*major</t>
  </si>
  <si>
    <t xml:space="preserve">Top 40 Big Man?</t>
  </si>
  <si>
    <t xml:space="preserve">Floor Pct</t>
  </si>
  <si>
    <t xml:space="preserve">Regular Season Percentage Against Tournament Teams</t>
  </si>
  <si>
    <t xml:space="preserve">Regular Season Games Against Tournament Teams</t>
  </si>
  <si>
    <t xml:space="preserve">Akron</t>
  </si>
  <si>
    <t xml:space="preserve">Colorado State</t>
  </si>
  <si>
    <t xml:space="preserve">Illinois</t>
  </si>
  <si>
    <t xml:space="preserve">James Madison</t>
  </si>
  <si>
    <t xml:space="preserve">La Salle</t>
  </si>
  <si>
    <t xml:space="preserve">Liberty</t>
  </si>
  <si>
    <t xml:space="preserve">LIU  Brooklyn</t>
  </si>
  <si>
    <t xml:space="preserve">Michigan </t>
  </si>
  <si>
    <t xml:space="preserve">Middle Tennessee</t>
  </si>
  <si>
    <t xml:space="preserve">North Carolina </t>
  </si>
  <si>
    <t xml:space="preserve">North Carolina A&amp;T</t>
  </si>
  <si>
    <t xml:space="preserve">Northwestern State</t>
  </si>
  <si>
    <t xml:space="preserve">Oklahoma </t>
  </si>
  <si>
    <t xml:space="preserve">Ole Miss</t>
  </si>
  <si>
    <t xml:space="preserve">Pacific</t>
  </si>
  <si>
    <t xml:space="preserve">Saint Mary's California</t>
  </si>
  <si>
    <t xml:space="preserve">Southern University</t>
  </si>
  <si>
    <t xml:space="preserve">UNLV</t>
  </si>
  <si>
    <t xml:space="preserve">Western Kentucky</t>
  </si>
  <si>
    <t xml:space="preserve">team name</t>
  </si>
  <si>
    <t xml:space="preserve"> 3 pts/all points</t>
  </si>
  <si>
    <t xml:space="preserve">Tournament Appearances in the Last 3 Years</t>
  </si>
  <si>
    <t xml:space="preserve">Win Percentage</t>
  </si>
  <si>
    <t xml:space="preserve">efficiency (off-def)</t>
  </si>
  <si>
    <t xml:space="preserve">Winning Percentage in Close Games</t>
  </si>
  <si>
    <t xml:space="preserve">Regular Season Wins Against Tournament Teams</t>
  </si>
  <si>
    <t xml:space="preserve">Turnovers</t>
  </si>
  <si>
    <t xml:space="preserve">Average Attendance</t>
  </si>
  <si>
    <t xml:space="preserve">Offensive rebounds</t>
  </si>
  <si>
    <t xml:space="preserve">Margin of Victory</t>
  </si>
  <si>
    <t xml:space="preserve">Detroit</t>
  </si>
  <si>
    <t xml:space="preserve">Florida State</t>
  </si>
  <si>
    <t xml:space="preserve">Lamar</t>
  </si>
  <si>
    <t xml:space="preserve">Lehigh</t>
  </si>
  <si>
    <t xml:space="preserve">LIU Brooklyn</t>
  </si>
  <si>
    <t xml:space="preserve">Long Beach State</t>
  </si>
  <si>
    <t xml:space="preserve">Loyola (MD)</t>
  </si>
  <si>
    <t xml:space="preserve">Mississippi Valley</t>
  </si>
  <si>
    <t xml:space="preserve">Murray State</t>
  </si>
  <si>
    <t xml:space="preserve">NC Asheville</t>
  </si>
  <si>
    <t xml:space="preserve">New Mexico </t>
  </si>
  <si>
    <t xml:space="preserve">Norfolk State</t>
  </si>
  <si>
    <t xml:space="preserve">Ohio</t>
  </si>
  <si>
    <t xml:space="preserve">Saint Bonaventure</t>
  </si>
  <si>
    <t xml:space="preserve">Southern Mississippi</t>
  </si>
  <si>
    <t xml:space="preserve">St. Mary's</t>
  </si>
  <si>
    <t xml:space="preserve">USF</t>
  </si>
  <si>
    <t xml:space="preserve">http://fs.ncaa.org/Docs/stats/m_basketball_RB/Reports/attendanceYBYtop25.pdf</t>
  </si>
  <si>
    <t xml:space="preserve">With 2011 counting as 2011-2012</t>
  </si>
  <si>
    <t xml:space="preserve">PER GAME</t>
  </si>
  <si>
    <t xml:space="preserve">TOTAL</t>
  </si>
  <si>
    <t xml:space="preserve">RK</t>
  </si>
  <si>
    <t xml:space="preserve">TEAM</t>
  </si>
  <si>
    <t xml:space="preserve">GP</t>
  </si>
  <si>
    <t xml:space="preserve">PPG</t>
  </si>
  <si>
    <t xml:space="preserve">FTM</t>
  </si>
  <si>
    <t xml:space="preserve">FTA</t>
  </si>
  <si>
    <t xml:space="preserve">FT%</t>
  </si>
  <si>
    <t xml:space="preserve">Cleveland State</t>
  </si>
  <si>
    <t xml:space="preserve">Furman</t>
  </si>
  <si>
    <t xml:space="preserve">North Texas</t>
  </si>
  <si>
    <t xml:space="preserve">Texas State</t>
  </si>
  <si>
    <t xml:space="preserve">William &amp; Mary</t>
  </si>
  <si>
    <t xml:space="preserve">Santa Clara</t>
  </si>
  <si>
    <t xml:space="preserve">Mississippi State</t>
  </si>
  <si>
    <t xml:space="preserve">Green Bay</t>
  </si>
  <si>
    <t xml:space="preserve">Texas-Pan American</t>
  </si>
  <si>
    <t xml:space="preserve">Brigham Young</t>
  </si>
  <si>
    <t xml:space="preserve">South Florida</t>
  </si>
  <si>
    <t xml:space="preserve">Dartmouth</t>
  </si>
  <si>
    <t xml:space="preserve">344 Results</t>
  </si>
  <si>
    <t xml:space="preserve">3 of 9</t>
  </si>
  <si>
    <t xml:space="preserve">Glossary</t>
  </si>
  <si>
    <t xml:space="preserve">GP: Games Played</t>
  </si>
  <si>
    <t xml:space="preserve">PPG: Points Per Game</t>
  </si>
  <si>
    <t xml:space="preserve">FTM: Free Throws Made Per Game</t>
  </si>
  <si>
    <t xml:space="preserve">FTA: Free Throws Attempted Per Game</t>
  </si>
  <si>
    <t xml:space="preserve">FTM: Total Free Throws Made</t>
  </si>
  <si>
    <t xml:space="preserve">FTA: Total Free Throws Attempted</t>
  </si>
  <si>
    <t xml:space="preserve">FT%: Free Throw Percentage</t>
  </si>
  <si>
    <t xml:space="preserve">Last ten games (wins)</t>
  </si>
  <si>
    <t xml:space="preserve">Win conference tournament?</t>
  </si>
  <si>
    <t xml:space="preserve">Major conference?</t>
  </si>
  <si>
    <t xml:space="preserve">Wins against tournament teams?</t>
  </si>
  <si>
    <t xml:space="preserve">Losses against tournament teams?</t>
  </si>
  <si>
    <t xml:space="preserve">Tournament appearances in the last 3 years? </t>
  </si>
  <si>
    <t xml:space="preserve">TO rates</t>
  </si>
  <si>
    <t xml:space="preserve">ORebound/total rebounds</t>
  </si>
  <si>
    <t xml:space="preserve">3 pts/all pts</t>
  </si>
  <si>
    <t xml:space="preserve">Points allowed per game</t>
  </si>
  <si>
    <t xml:space="preserve">Total Experience of top 6 minute getters</t>
  </si>
  <si>
    <t xml:space="preserve">Team Efficiency(off)-Efficiency(def)</t>
  </si>
  <si>
    <t xml:space="preserve">Win % in close games (5 points or less at end of regulation)</t>
  </si>
  <si>
    <t xml:space="preserve">Alabama State</t>
  </si>
  <si>
    <t xml:space="preserve">Arkansas - Little Rock</t>
  </si>
  <si>
    <t xml:space="preserve">Boston U</t>
  </si>
  <si>
    <t xml:space="preserve">George Mason</t>
  </si>
  <si>
    <t xml:space="preserve">Indiana State</t>
  </si>
  <si>
    <t xml:space="preserve">Long Island</t>
  </si>
  <si>
    <t xml:space="preserve">Morehead State</t>
  </si>
  <si>
    <t xml:space="preserve">Northern Colorado</t>
  </si>
  <si>
    <t xml:space="preserve">Oakland</t>
  </si>
  <si>
    <t xml:space="preserve">Old Dominion</t>
  </si>
  <si>
    <t xml:space="preserve">Penn State</t>
  </si>
  <si>
    <t xml:space="preserve">Richmond</t>
  </si>
  <si>
    <t xml:space="preserve">St. Peter's</t>
  </si>
  <si>
    <t xml:space="preserve">Texas-San Antonio</t>
  </si>
  <si>
    <t xml:space="preserve">UCSB</t>
  </si>
  <si>
    <t xml:space="preserve">UNC</t>
  </si>
  <si>
    <t xml:space="preserve">UNC-Asheville</t>
  </si>
  <si>
    <t xml:space="preserve">Utah State</t>
  </si>
  <si>
    <t xml:space="preserve">Washington</t>
  </si>
  <si>
    <t xml:space="preserve">winning percentage</t>
  </si>
  <si>
    <t xml:space="preserve">PointsPG</t>
  </si>
  <si>
    <t xml:space="preserve">Points allowedPg</t>
  </si>
  <si>
    <t xml:space="preserve">3pts/all points</t>
  </si>
  <si>
    <t xml:space="preserve">offensive-defensive efficiency</t>
  </si>
  <si>
    <t xml:space="preserve">Arkansas-PB</t>
  </si>
  <si>
    <t xml:space="preserve">Cornell</t>
  </si>
  <si>
    <t xml:space="preserve">East Tenn. St.</t>
  </si>
  <si>
    <t xml:space="preserve">Florida St.</t>
  </si>
  <si>
    <t xml:space="preserve">Georgia Tech</t>
  </si>
  <si>
    <t xml:space="preserve">Kansas St.</t>
  </si>
  <si>
    <t xml:space="preserve">Michigan St.</t>
  </si>
  <si>
    <t xml:space="preserve">Morgan St.</t>
  </si>
  <si>
    <t xml:space="preserve">Murray St.</t>
  </si>
  <si>
    <t xml:space="preserve">New Mexico St.</t>
  </si>
  <si>
    <t xml:space="preserve">Ohio St.</t>
  </si>
  <si>
    <t xml:space="preserve">Oklahoma St.</t>
  </si>
  <si>
    <t xml:space="preserve">Saint Mary’s</t>
  </si>
  <si>
    <t xml:space="preserve">Sam Houston St.</t>
  </si>
  <si>
    <t xml:space="preserve">San Diego St.</t>
  </si>
  <si>
    <t xml:space="preserve">Siena</t>
  </si>
  <si>
    <t xml:space="preserve">UC Santa Barbara</t>
  </si>
  <si>
    <t xml:space="preserve">Utah St.</t>
  </si>
  <si>
    <t xml:space="preserve">UTEP</t>
  </si>
  <si>
    <t xml:space="preserve"> Tournament Wins</t>
  </si>
  <si>
    <t xml:space="preserve">Last ten games</t>
  </si>
  <si>
    <t xml:space="preserve">Team efficiency (Offensive - Defensive)</t>
  </si>
  <si>
    <t xml:space="preserve">Win % against tournament teams</t>
  </si>
  <si>
    <t xml:space="preserve">Games against tournament teams</t>
  </si>
  <si>
    <t xml:space="preserve">Alabama St</t>
  </si>
  <si>
    <t xml:space="preserve">Binghamton</t>
  </si>
  <si>
    <t xml:space="preserve">Boston College</t>
  </si>
  <si>
    <t xml:space="preserve">Cleveland St</t>
  </si>
  <si>
    <t xml:space="preserve">CS Northridge</t>
  </si>
  <si>
    <t xml:space="preserve">East Tenn St</t>
  </si>
  <si>
    <t xml:space="preserve">Mississippi St</t>
  </si>
  <si>
    <t xml:space="preserve">Morehead St</t>
  </si>
  <si>
    <t xml:space="preserve">Morgan St</t>
  </si>
  <si>
    <t xml:space="preserve">North Dakota St</t>
  </si>
  <si>
    <t xml:space="preserve">Portland St</t>
  </si>
  <si>
    <t xml:space="preserve">Southern California</t>
  </si>
  <si>
    <t xml:space="preserve">Utah St</t>
  </si>
  <si>
    <t xml:space="preserve">Team Efficiency (Offensive - Defensive)</t>
  </si>
  <si>
    <t xml:space="preserve">Boise St</t>
  </si>
  <si>
    <t xml:space="preserve">Coppin St</t>
  </si>
  <si>
    <t xml:space="preserve">Drake</t>
  </si>
  <si>
    <t xml:space="preserve">Miss Valley St</t>
  </si>
  <si>
    <t xml:space="preserve">Mt St. Mary's</t>
  </si>
  <si>
    <t xml:space="preserve">Oral Roberts</t>
  </si>
  <si>
    <t xml:space="preserve">Saint Joseph's</t>
  </si>
  <si>
    <t xml:space="preserve">San Diego</t>
  </si>
  <si>
    <t xml:space="preserve">South Alabama</t>
  </si>
  <si>
    <t xml:space="preserve">UT Arlington</t>
  </si>
  <si>
    <t xml:space="preserve">Washington St</t>
  </si>
  <si>
    <t xml:space="preserve">3pt FGs</t>
  </si>
  <si>
    <t xml:space="preserve">2pt FGs</t>
  </si>
  <si>
    <t xml:space="preserve">FTs</t>
  </si>
  <si>
    <t xml:space="preserve">free throw percentage</t>
  </si>
  <si>
    <t xml:space="preserve">Team Efficiency(OFF)-Team Efficiency(DEF)</t>
  </si>
  <si>
    <t xml:space="preserve">Central Connecticut</t>
  </si>
  <si>
    <t xml:space="preserve">Florida A&amp;M</t>
  </si>
  <si>
    <t xml:space="preserve">Jackson St. </t>
  </si>
  <si>
    <t xml:space="preserve">Long Beach</t>
  </si>
  <si>
    <t xml:space="preserve">Miami-Ohio</t>
  </si>
  <si>
    <t xml:space="preserve">Michigan St. </t>
  </si>
  <si>
    <t xml:space="preserve">Niagara</t>
  </si>
  <si>
    <t xml:space="preserve">Pennsylvania</t>
  </si>
  <si>
    <t xml:space="preserve">Southern Ilinois</t>
  </si>
  <si>
    <t xml:space="preserve">TAMU-CC</t>
  </si>
  <si>
    <t xml:space="preserve">Washington St.</t>
  </si>
  <si>
    <t xml:space="preserve">Weber St, </t>
  </si>
  <si>
    <t xml:space="preserve">Wright St. </t>
  </si>
  <si>
    <t xml:space="preserve">
</t>
  </si>
  <si>
    <t xml:space="preserve">Team Efficiency(off)-Team Efficiency(def)</t>
  </si>
  <si>
    <t xml:space="preserve">Air Force</t>
  </si>
  <si>
    <t xml:space="preserve">Albany (N.Y.)</t>
  </si>
  <si>
    <t xml:space="preserve">Bradley</t>
  </si>
  <si>
    <t xml:space="preserve">Kent State</t>
  </si>
  <si>
    <t xml:space="preserve">Monmouth</t>
  </si>
  <si>
    <t xml:space="preserve">Southern Illinois</t>
  </si>
  <si>
    <t xml:space="preserve">Wisconsin </t>
  </si>
  <si>
    <t xml:space="preserve">Wisconsin-Milwaukee</t>
  </si>
  <si>
    <t xml:space="preserve">Total Experience of Top 6 minute getters</t>
  </si>
  <si>
    <t xml:space="preserve">Alabama A&amp;M</t>
  </si>
  <si>
    <t xml:space="preserve">Alabama-Birmingham</t>
  </si>
  <si>
    <t xml:space="preserve">Central Florida</t>
  </si>
  <si>
    <t xml:space="preserve">Charlotte</t>
  </si>
  <si>
    <t xml:space="preserve">Delaware State</t>
  </si>
  <si>
    <t xml:space="preserve">Louisiana State</t>
  </si>
  <si>
    <t xml:space="preserve">Louisiana-Lafayette</t>
  </si>
  <si>
    <t xml:space="preserve">Milwaukee</t>
  </si>
  <si>
    <t xml:space="preserve">Saint Mary's</t>
  </si>
  <si>
    <t xml:space="preserve">Southeastern Louisiana</t>
  </si>
  <si>
    <t xml:space="preserve">Syracuse </t>
  </si>
  <si>
    <t xml:space="preserve">Texas-El Paso</t>
  </si>
  <si>
    <t xml:space="preserve">Utah </t>
  </si>
  <si>
    <t xml:space="preserve">DePaul</t>
  </si>
  <si>
    <t xml:space="preserve">East Tennessee State</t>
  </si>
  <si>
    <t xml:space="preserve">UIC</t>
  </si>
  <si>
    <t xml:space="preserve">UNC Charlotte</t>
  </si>
  <si>
    <t xml:space="preserve">Virginia Commonwealth</t>
  </si>
  <si>
    <t xml:space="preserve">Central Michigan</t>
  </si>
  <si>
    <t xml:space="preserve">IUPUI</t>
  </si>
  <si>
    <t xml:space="preserve">Manhattan </t>
  </si>
  <si>
    <t xml:space="preserve">North Carolina-Asheville</t>
  </si>
  <si>
    <t xml:space="preserve">North Carolina-Wilmington</t>
  </si>
  <si>
    <t xml:space="preserve">Pennsylvania </t>
  </si>
  <si>
    <t xml:space="preserve">Sam Houston State</t>
  </si>
  <si>
    <t xml:space="preserve">South Carolina State</t>
  </si>
  <si>
    <t xml:space="preserve">Wagner</t>
  </si>
  <si>
    <t xml:space="preserve">Alcorn State</t>
  </si>
  <si>
    <t xml:space="preserve">Boston University</t>
  </si>
  <si>
    <t xml:space="preserve">Central Connecticut State</t>
  </si>
  <si>
    <t xml:space="preserve">Cincinatti</t>
  </si>
  <si>
    <t xml:space="preserve">Florida Atlantic</t>
  </si>
  <si>
    <t xml:space="preserve">Hawai'i</t>
  </si>
  <si>
    <t xml:space="preserve">McNeese State</t>
  </si>
  <si>
    <t xml:space="preserve">Pepperdine</t>
  </si>
  <si>
    <t xml:space="preserve">UC-Santa Barbara</t>
  </si>
  <si>
    <t xml:space="preserve">UNC-Wilmington</t>
  </si>
  <si>
    <t xml:space="preserve">(.... wtf?) ._.</t>
  </si>
  <si>
    <t xml:space="preserve">http://statsheet.com/mcb/teams/stats?season=2001-2002&amp;conf=&amp;games=&amp;stat=threefg_made&amp;stat_type=</t>
  </si>
  <si>
    <t xml:space="preserve">http://statsheet.com/mcb/teams/xavier/players?season=2001-2002#play</t>
  </si>
  <si>
    <t xml:space="preserve">Special Sauce (SOS)</t>
  </si>
  <si>
    <t xml:space="preserve">DNU</t>
  </si>
  <si>
    <t xml:space="preserve">Cal State Northridge</t>
  </si>
  <si>
    <t xml:space="preserve">Eastern Illinois</t>
  </si>
  <si>
    <t xml:space="preserve">Hofstra</t>
  </si>
  <si>
    <t xml:space="preserve">Mississippi (Ole Miss)</t>
  </si>
  <si>
    <t xml:space="preserve">UNC-Greensboro</t>
  </si>
  <si>
    <t xml:space="preserve">Southern Utah</t>
  </si>
  <si>
    <t xml:space="preserve">Year</t>
  </si>
  <si>
    <t xml:space="preserve">RPI rating</t>
  </si>
  <si>
    <t xml:space="preserve">Win conference tournament? (1/0)</t>
  </si>
  <si>
    <t xml:space="preserve">Major conference? (1/0)</t>
  </si>
  <si>
    <t xml:space="preserve">PointsPG - PointsAllowedPG</t>
  </si>
  <si>
    <t xml:space="preserve">Appalachian State</t>
  </si>
  <si>
    <t xml:space="preserve">1999-2000</t>
  </si>
  <si>
    <t xml:space="preserve">Ball State</t>
  </si>
  <si>
    <t xml:space="preserve">no stats past 2000</t>
  </si>
  <si>
    <t xml:space="preserve">Jackson State</t>
  </si>
  <si>
    <t xml:space="preserve">Miami</t>
  </si>
  <si>
    <t xml:space="preserve">Northern Arizona</t>
  </si>
  <si>
    <t xml:space="preserve">Samford</t>
  </si>
  <si>
    <t xml:space="preserve">Southeast Missouri State</t>
  </si>
  <si>
    <t xml:space="preserve">Major conference? (ACC, SEC, Big East, Big 10, Big 12, PAC 12) MILLIE</t>
  </si>
  <si>
    <t xml:space="preserve">PointsPG ANNA</t>
  </si>
  <si>
    <t xml:space="preserve">Points allowedPg ANNA</t>
  </si>
  <si>
    <t xml:space="preserve">Tournament appearances in the last 3 years? ANNA</t>
  </si>
  <si>
    <t xml:space="preserve">TO rates (TO/G) Ian</t>
  </si>
  <si>
    <t xml:space="preserve">ORebound/total rebounds Ian</t>
  </si>
  <si>
    <t xml:space="preserve">3pts/all points-SAM</t>
  </si>
  <si>
    <t xml:space="preserve">Total Experience of top 6 minute getters- HOW IS THIS BEING MEASURED?-SAM </t>
  </si>
  <si>
    <t xml:space="preserve">Team Efficiency(off) - SAM</t>
  </si>
  <si>
    <t xml:space="preserve">Team Efficiency (def) - SAM</t>
  </si>
  <si>
    <t xml:space="preserve">TeamEfficienty(off)-TeamEfficiency(def)</t>
  </si>
  <si>
    <t xml:space="preserve">team names</t>
  </si>
  <si>
    <t xml:space="preserve">1998-1999</t>
  </si>
  <si>
    <t xml:space="preserve">518/33 </t>
  </si>
  <si>
    <t xml:space="preserve">420/1319</t>
  </si>
  <si>
    <t xml:space="preserve">525/2428</t>
  </si>
  <si>
    <t xml:space="preserve">523/36</t>
  </si>
  <si>
    <t xml:space="preserve">x/1588</t>
  </si>
  <si>
    <t xml:space="preserve">522/2781</t>
  </si>
  <si>
    <t xml:space="preserve">538/38</t>
  </si>
  <si>
    <t xml:space="preserve">564/1383</t>
  </si>
  <si>
    <t xml:space="preserve">513/2725</t>
  </si>
  <si>
    <t xml:space="preserve">507/34</t>
  </si>
  <si>
    <t xml:space="preserve">x/1321</t>
  </si>
  <si>
    <t xml:space="preserve">579/2565</t>
  </si>
  <si>
    <t xml:space="preserve">461/34</t>
  </si>
  <si>
    <t xml:space="preserve">x/1347</t>
  </si>
  <si>
    <t xml:space="preserve">753/2336</t>
  </si>
  <si>
    <t xml:space="preserve">462/33</t>
  </si>
  <si>
    <t xml:space="preserve">x/1316</t>
  </si>
  <si>
    <t xml:space="preserve">822/2246</t>
  </si>
  <si>
    <t xml:space="preserve">473/29</t>
  </si>
  <si>
    <t xml:space="preserve">x/1177</t>
  </si>
  <si>
    <t xml:space="preserve">426/2152</t>
  </si>
  <si>
    <t xml:space="preserve">516/33</t>
  </si>
  <si>
    <t xml:space="preserve">x/1438</t>
  </si>
  <si>
    <t xml:space="preserve">495/2380</t>
  </si>
  <si>
    <t xml:space="preserve">X</t>
  </si>
  <si>
    <t xml:space="preserve">511/34</t>
  </si>
  <si>
    <t xml:space="preserve">x/1262</t>
  </si>
  <si>
    <t xml:space="preserve">549/2328</t>
  </si>
  <si>
    <t xml:space="preserve">435/33</t>
  </si>
  <si>
    <t xml:space="preserve">460/1483</t>
  </si>
  <si>
    <t xml:space="preserve">582/2425</t>
  </si>
  <si>
    <t xml:space="preserve">496/33</t>
  </si>
  <si>
    <t xml:space="preserve">423/1197</t>
  </si>
  <si>
    <t xml:space="preserve">579/2540</t>
  </si>
  <si>
    <t xml:space="preserve">St. John's (NY)</t>
  </si>
  <si>
    <t xml:space="preserve">499/37</t>
  </si>
  <si>
    <t xml:space="preserve">x/1632</t>
  </si>
  <si>
    <t xml:space="preserve">483/2924</t>
  </si>
  <si>
    <t xml:space="preserve">493/33</t>
  </si>
  <si>
    <t xml:space="preserve">x/1322</t>
  </si>
  <si>
    <t xml:space="preserve">390/2377</t>
  </si>
  <si>
    <t xml:space="preserve">463/31</t>
  </si>
  <si>
    <t xml:space="preserve">485/1268</t>
  </si>
  <si>
    <t xml:space="preserve">564/2590</t>
  </si>
  <si>
    <t xml:space="preserve">388/31</t>
  </si>
  <si>
    <t xml:space="preserve">x/1101</t>
  </si>
  <si>
    <t xml:space="preserve">588/1966</t>
  </si>
  <si>
    <t xml:space="preserve">501/32</t>
  </si>
  <si>
    <t xml:space="preserve">x/1293</t>
  </si>
  <si>
    <t xml:space="preserve">627/2326</t>
  </si>
  <si>
    <t xml:space="preserve">College of Charleston</t>
  </si>
  <si>
    <t xml:space="preserve">446/31</t>
  </si>
  <si>
    <t xml:space="preserve">x/1244</t>
  </si>
  <si>
    <t xml:space="preserve">420/2258</t>
  </si>
  <si>
    <t xml:space="preserve">455/31</t>
  </si>
  <si>
    <t xml:space="preserve">x/1215</t>
  </si>
  <si>
    <t xml:space="preserve">621/2394</t>
  </si>
  <si>
    <t xml:space="preserve">567/39</t>
  </si>
  <si>
    <t xml:space="preserve">588/1644</t>
  </si>
  <si>
    <t xml:space="preserve">879/3581</t>
  </si>
  <si>
    <t xml:space="preserve">547/37</t>
  </si>
  <si>
    <t xml:space="preserve">x/1607</t>
  </si>
  <si>
    <t xml:space="preserve">678/2790</t>
  </si>
  <si>
    <t xml:space="preserve">429/34</t>
  </si>
  <si>
    <t xml:space="preserve">x/1300</t>
  </si>
  <si>
    <t xml:space="preserve">741/2556</t>
  </si>
  <si>
    <t xml:space="preserve">541/33</t>
  </si>
  <si>
    <t xml:space="preserve">485/1310</t>
  </si>
  <si>
    <t xml:space="preserve">552/2387</t>
  </si>
  <si>
    <t xml:space="preserve">450/34</t>
  </si>
  <si>
    <t xml:space="preserve">412/1201</t>
  </si>
  <si>
    <t xml:space="preserve">696/2431</t>
  </si>
  <si>
    <t xml:space="preserve">420/29</t>
  </si>
  <si>
    <t xml:space="preserve">493/1137</t>
  </si>
  <si>
    <t xml:space="preserve">543/2305</t>
  </si>
  <si>
    <t xml:space="preserve">487/29</t>
  </si>
  <si>
    <t xml:space="preserve">x/1342</t>
  </si>
  <si>
    <t xml:space="preserve">429/2383</t>
  </si>
  <si>
    <t xml:space="preserve">477/33</t>
  </si>
  <si>
    <t xml:space="preserve">x/1420</t>
  </si>
  <si>
    <t xml:space="preserve">498/2440</t>
  </si>
  <si>
    <t xml:space="preserve">388/33</t>
  </si>
  <si>
    <t xml:space="preserve">349/1188</t>
  </si>
  <si>
    <t xml:space="preserve">636/2352</t>
  </si>
  <si>
    <t xml:space="preserve">567/34</t>
  </si>
  <si>
    <t xml:space="preserve">417/1343</t>
  </si>
  <si>
    <t xml:space="preserve">552/2873</t>
  </si>
  <si>
    <t xml:space="preserve">494/34</t>
  </si>
  <si>
    <t xml:space="preserve">485/1266</t>
  </si>
  <si>
    <t xml:space="preserve">888/2675</t>
  </si>
  <si>
    <t xml:space="preserve">374/35</t>
  </si>
  <si>
    <t xml:space="preserve">x/1374</t>
  </si>
  <si>
    <t xml:space="preserve">681/2331</t>
  </si>
  <si>
    <t xml:space="preserve">484/30</t>
  </si>
  <si>
    <t xml:space="preserve">x/1277</t>
  </si>
  <si>
    <t xml:space="preserve">603/2178</t>
  </si>
  <si>
    <t xml:space="preserve">Wisconsin
</t>
  </si>
  <si>
    <t xml:space="preserve">377/32</t>
  </si>
  <si>
    <t xml:space="preserve">274/948</t>
  </si>
  <si>
    <t xml:space="preserve">612/1987</t>
  </si>
  <si>
    <t xml:space="preserve">516/32</t>
  </si>
  <si>
    <t xml:space="preserve">x/1384</t>
  </si>
  <si>
    <t xml:space="preserve">459/2189</t>
  </si>
  <si>
    <t xml:space="preserve">Texas-San Antonio (UTSA)</t>
  </si>
  <si>
    <t xml:space="preserve">481/29</t>
  </si>
  <si>
    <t xml:space="preserve">317/986</t>
  </si>
  <si>
    <t xml:space="preserve">588/2247</t>
  </si>
  <si>
    <t xml:space="preserve">593/33</t>
  </si>
  <si>
    <t xml:space="preserve">x/1398</t>
  </si>
  <si>
    <t xml:space="preserve">699/2319</t>
  </si>
  <si>
    <t xml:space="preserve">418/30</t>
  </si>
  <si>
    <t xml:space="preserve">x/1135</t>
  </si>
  <si>
    <t xml:space="preserve">504/2156</t>
  </si>
  <si>
    <t xml:space="preserve">Southwest Missouri State</t>
  </si>
  <si>
    <t xml:space="preserve">468/33</t>
  </si>
  <si>
    <t xml:space="preserve">x/1248</t>
  </si>
  <si>
    <t xml:space="preserve">537/2414</t>
  </si>
  <si>
    <t xml:space="preserve">Missouri State</t>
  </si>
  <si>
    <t xml:space="preserve">444/30</t>
  </si>
  <si>
    <t xml:space="preserve">585/2214</t>
  </si>
  <si>
    <t xml:space="preserve">445/30</t>
  </si>
  <si>
    <t xml:space="preserve">x/1160</t>
  </si>
  <si>
    <t xml:space="preserve">714/2167</t>
  </si>
  <si>
    <t xml:space="preserve">576/31</t>
  </si>
  <si>
    <t xml:space="preserve">x/1499</t>
  </si>
  <si>
    <t xml:space="preserve">447/2252</t>
  </si>
  <si>
    <t xml:space="preserve">491/32</t>
  </si>
  <si>
    <t xml:space="preserve">x/1271</t>
  </si>
  <si>
    <t xml:space="preserve">672/2399</t>
  </si>
  <si>
    <t xml:space="preserve">Miami, Ohio</t>
  </si>
  <si>
    <t xml:space="preserve">381/32</t>
  </si>
  <si>
    <t xml:space="preserve">313/1041</t>
  </si>
  <si>
    <t xml:space="preserve">579/2163</t>
  </si>
  <si>
    <t xml:space="preserve">Evansville</t>
  </si>
  <si>
    <t xml:space="preserve">521/33</t>
  </si>
  <si>
    <t xml:space="preserve">x/1150</t>
  </si>
  <si>
    <t xml:space="preserve">687/2502</t>
  </si>
  <si>
    <t xml:space="preserve">459/33</t>
  </si>
  <si>
    <t xml:space="preserve">x/1230</t>
  </si>
  <si>
    <t xml:space="preserve">742/2556</t>
  </si>
  <si>
    <t xml:space="preserve">Arkansas State</t>
  </si>
  <si>
    <t xml:space="preserve">449/30</t>
  </si>
  <si>
    <t xml:space="preserve">x/1125</t>
  </si>
  <si>
    <t xml:space="preserve">477/2206</t>
  </si>
  <si>
    <t xml:space="preserve">441/30</t>
  </si>
  <si>
    <t xml:space="preserve">x/1085</t>
  </si>
  <si>
    <t xml:space="preserve">594/2049</t>
  </si>
  <si>
    <t xml:space="preserve">425/33</t>
  </si>
  <si>
    <t xml:space="preserve">643/1452</t>
  </si>
  <si>
    <t xml:space="preserve">702/2680</t>
  </si>
  <si>
    <t xml:space="preserve">Ohio State (Vacated)</t>
  </si>
  <si>
    <t xml:space="preserve">509/36</t>
  </si>
  <si>
    <t xml:space="preserve">x/1477</t>
  </si>
  <si>
    <t xml:space="preserve">654/2695</t>
  </si>
  <si>
    <t xml:space="preserve">UCLA (Vacated)</t>
  </si>
  <si>
    <t xml:space="preserve">527/31</t>
  </si>
  <si>
    <t xml:space="preserve">x/1334</t>
  </si>
  <si>
    <t xml:space="preserve">489/2392</t>
  </si>
  <si>
    <t xml:space="preserve">500/30</t>
  </si>
  <si>
    <t xml:space="preserve">576/2306</t>
  </si>
  <si>
    <t xml:space="preserve">476/31</t>
  </si>
  <si>
    <t xml:space="preserve">424/1126</t>
  </si>
  <si>
    <t xml:space="preserve">708/2357</t>
  </si>
  <si>
    <t xml:space="preserve">432/30</t>
  </si>
  <si>
    <t xml:space="preserve">x/980</t>
  </si>
  <si>
    <t xml:space="preserve">834/2188</t>
  </si>
  <si>
    <t xml:space="preserve">440/29</t>
  </si>
  <si>
    <t xml:space="preserve">x/1133</t>
  </si>
  <si>
    <t xml:space="preserve">588/1995</t>
  </si>
  <si>
    <t xml:space="preserve">532/30</t>
  </si>
  <si>
    <t xml:space="preserve">x/1159</t>
  </si>
  <si>
    <t xml:space="preserve">564/2217</t>
  </si>
  <si>
    <t xml:space="preserve">556/31</t>
  </si>
  <si>
    <t xml:space="preserve">360/1108</t>
  </si>
  <si>
    <t xml:space="preserve">867/2488</t>
  </si>
  <si>
    <t xml:space="preserve">412/28</t>
  </si>
  <si>
    <t xml:space="preserve">399/1928</t>
  </si>
  <si>
    <t xml:space="preserve">424/29</t>
  </si>
  <si>
    <t xml:space="preserve">335/1092</t>
  </si>
  <si>
    <t xml:space="preserve">540/2081</t>
  </si>
  <si>
    <t xml:space="preserve">501/35</t>
  </si>
  <si>
    <t xml:space="preserve">x/1405</t>
  </si>
  <si>
    <t xml:space="preserve">873/2743</t>
  </si>
  <si>
    <t xml:space="preserve">Pennsylvannia</t>
  </si>
  <si>
    <t xml:space="preserve">350/27</t>
  </si>
  <si>
    <t xml:space="preserve">297/995</t>
  </si>
  <si>
    <t xml:space="preserve">624/1921</t>
  </si>
  <si>
    <t xml:space="preserve">545/32</t>
  </si>
  <si>
    <t xml:space="preserve">x/1336</t>
  </si>
  <si>
    <t xml:space="preserve">465/2368</t>
  </si>
  <si>
    <t xml:space="preserve">584/31</t>
  </si>
  <si>
    <t xml:space="preserve">451/1223</t>
  </si>
  <si>
    <t xml:space="preserve">738/2686</t>
  </si>
  <si>
    <t xml:space="preserve">492/33</t>
  </si>
  <si>
    <t xml:space="preserve">x/1284</t>
  </si>
  <si>
    <t xml:space="preserve">633/2611</t>
  </si>
  <si>
    <t xml:space="preserve">579/30</t>
  </si>
  <si>
    <t xml:space="preserve">x/1473</t>
  </si>
  <si>
    <t xml:space="preserve">558/2274</t>
  </si>
  <si>
    <t xml:space="preserve">Miami, Fl</t>
  </si>
  <si>
    <t xml:space="preserve">575/30</t>
  </si>
  <si>
    <t xml:space="preserve">389/1180</t>
  </si>
  <si>
    <t xml:space="preserve">http://www.sports-reference.com/cbb/schools/connecticut/1999.html</t>
  </si>
  <si>
    <t xml:space="preserve">http://www.teamrankings.com/ncaa-basketball/stat/offensive-efficiency?date=1999-03-30</t>
  </si>
  <si>
    <t xml:space="preserve">1997-1998</t>
  </si>
  <si>
    <t xml:space="preserve">Prairie View</t>
  </si>
  <si>
    <t xml:space="preserve">Texas Christian</t>
  </si>
  <si>
    <t xml:space="preserve">St. Johns New York</t>
  </si>
  <si>
    <t xml:space="preserve">Detriot Mercy</t>
  </si>
  <si>
    <t xml:space="preserve">Ohklahoma State</t>
  </si>
  <si>
    <t xml:space="preserve">Miami Florida</t>
  </si>
  <si>
    <t xml:space="preserve">Massachusetts</t>
  </si>
  <si>
    <t xml:space="preserve">St. Louis</t>
  </si>
  <si>
    <t xml:space="preserve">Navy</t>
  </si>
  <si>
    <t xml:space="preserve">Illinois-Chicago</t>
  </si>
  <si>
    <t xml:space="preserve">Nevada-Las Vegas</t>
  </si>
  <si>
    <t xml:space="preserve">Eastern Michigan</t>
  </si>
  <si>
    <t xml:space="preserve">Cincinnati </t>
  </si>
  <si>
    <t xml:space="preserve">Arkansa</t>
  </si>
  <si>
    <t xml:space="preserve">Illinois State</t>
  </si>
  <si>
    <t xml:space="preserve">San Francisco </t>
  </si>
  <si>
    <t xml:space="preserve">Nicholls State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</si>
</sst>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"/>
    <numFmt numFmtId="166" formatCode="0.000"/>
    <numFmt numFmtId="167" formatCode="0.0"/>
    <numFmt numFmtId="168" formatCode="\$#,##0.00"/>
    <numFmt numFmtId="169" formatCode="#,##0.00"/>
    <numFmt numFmtId="170" formatCode="#,##0.000"/>
  </numFmts>
  <fonts count="3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u val="single"/>
      <sz val="11"/>
      <color rgb="FF0000FF"/>
      <name val="Cambria"/>
      <family val="0"/>
      <charset val="1"/>
    </font>
    <font>
      <sz val="11"/>
      <color rgb="FF0022BB"/>
      <name val="Signika"/>
      <family val="0"/>
      <charset val="1"/>
    </font>
    <font>
      <sz val="11"/>
      <name val="Arial"/>
      <family val="0"/>
      <charset val="1"/>
    </font>
    <font>
      <u val="single"/>
      <sz val="11"/>
      <color rgb="FF0000FF"/>
      <name val="Arial"/>
      <family val="0"/>
      <charset val="1"/>
    </font>
    <font>
      <sz val="11"/>
      <color rgb="FF000000"/>
      <name val="Verdana"/>
      <family val="0"/>
      <charset val="1"/>
    </font>
    <font>
      <sz val="12"/>
      <color rgb="FF000000"/>
      <name val="Calibri"/>
      <family val="0"/>
      <charset val="1"/>
    </font>
    <font>
      <sz val="11"/>
      <color rgb="FF222222"/>
      <name val="&quot;Helvetica Neue&quot;"/>
      <family val="0"/>
      <charset val="1"/>
    </font>
    <font>
      <sz val="11"/>
      <color rgb="FF000000"/>
      <name val="Arial"/>
      <family val="0"/>
      <charset val="1"/>
    </font>
    <font>
      <sz val="11"/>
      <color rgb="FF111111"/>
      <name val="Arial"/>
      <family val="0"/>
      <charset val="1"/>
    </font>
    <font>
      <sz val="11"/>
      <color rgb="FF444444"/>
      <name val="Arial"/>
      <family val="0"/>
      <charset val="1"/>
    </font>
    <font>
      <sz val="10"/>
      <color rgb="FF444444"/>
      <name val="Arial"/>
      <family val="0"/>
      <charset val="1"/>
    </font>
    <font>
      <sz val="11"/>
      <color rgb="FF222222"/>
      <name val="Helvetica Neue"/>
      <family val="0"/>
      <charset val="1"/>
    </font>
    <font>
      <sz val="11"/>
      <color rgb="FF111111"/>
      <name val="Proxima-nova"/>
      <family val="0"/>
      <charset val="1"/>
    </font>
    <font>
      <u val="single"/>
      <sz val="11"/>
      <color rgb="FF000000"/>
      <name val="Arial"/>
      <family val="0"/>
      <charset val="1"/>
    </font>
    <font>
      <sz val="11"/>
      <color rgb="FF000000"/>
      <name val="Signika"/>
      <family val="0"/>
      <charset val="1"/>
    </font>
    <font>
      <sz val="9"/>
      <name val="BentonSans"/>
      <family val="0"/>
      <charset val="1"/>
    </font>
    <font>
      <sz val="11"/>
      <name val="Proxima-nova"/>
      <family val="0"/>
      <charset val="1"/>
    </font>
    <font>
      <sz val="11"/>
      <color rgb="FF222222"/>
      <name val="'Helvetica Neue'"/>
      <family val="0"/>
      <charset val="1"/>
    </font>
    <font>
      <sz val="10"/>
      <color rgb="FF222222"/>
      <name val="Arial"/>
      <family val="0"/>
      <charset val="1"/>
    </font>
    <font>
      <sz val="10"/>
      <name val="Arial"/>
      <family val="0"/>
      <charset val="1"/>
    </font>
    <font>
      <sz val="10"/>
      <color rgb="FF333333"/>
      <name val="Arial"/>
      <family val="0"/>
      <charset val="1"/>
    </font>
    <font>
      <b val="true"/>
      <sz val="11"/>
      <name val="Times New Roman"/>
      <family val="0"/>
      <charset val="1"/>
    </font>
    <font>
      <b val="true"/>
      <sz val="10"/>
      <name val="Cambria"/>
      <family val="0"/>
      <charset val="1"/>
    </font>
    <font>
      <sz val="11"/>
      <name val="Times New Roman"/>
      <family val="0"/>
      <charset val="1"/>
    </font>
    <font>
      <sz val="10"/>
      <color rgb="FFFF0000"/>
      <name val="Cambria"/>
      <family val="0"/>
      <charset val="1"/>
    </font>
    <font>
      <sz val="10"/>
      <color rgb="FF000000"/>
      <name val="Cambria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BEBEB"/>
        <bgColor rgb="FFEEEEEE"/>
      </patternFill>
    </fill>
    <fill>
      <patternFill patternType="solid">
        <fgColor rgb="FFFF00FF"/>
        <bgColor rgb="FFFF00FF"/>
      </patternFill>
    </fill>
    <fill>
      <patternFill patternType="solid">
        <fgColor rgb="FF00FFFF"/>
        <bgColor rgb="FF00FFFF"/>
      </patternFill>
    </fill>
    <fill>
      <patternFill patternType="solid">
        <fgColor rgb="FFDDDDDD"/>
        <bgColor rgb="FFEBEBEB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>
        <color rgb="FFDDDDDD"/>
      </left>
      <right style="thin">
        <color rgb="FFDDDDDD"/>
      </right>
      <top style="thin">
        <color rgb="FFDDDDDD"/>
      </top>
      <bottom/>
      <diagonal/>
    </border>
    <border diagonalUp="false" diagonalDown="false"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 diagonalUp="false" diagonalDown="false">
      <left style="thin">
        <color rgb="FFDDDDDD"/>
      </left>
      <right style="thin">
        <color rgb="FFDDDDDD"/>
      </right>
      <top/>
      <bottom style="thin">
        <color rgb="FFDDDDDD"/>
      </bottom>
      <diagonal/>
    </border>
    <border diagonalUp="false" diagonalDown="false">
      <left/>
      <right/>
      <top style="thin">
        <color rgb="FFEEEEEE"/>
      </top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7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2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9" fillId="2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6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7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2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7" fillId="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3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2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2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2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70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EBEBEB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2BB"/>
      <rgbColor rgb="FF339966"/>
      <rgbColor rgb="FF111111"/>
      <rgbColor rgb="FF222222"/>
      <rgbColor rgb="FF993300"/>
      <rgbColor rgb="FF993366"/>
      <rgbColor rgb="FF444444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hyperlink" Target="http://statsheet.com/mcb/teams/stats?season=2001-2002&amp;conf=&amp;games=&amp;stat=threefg_made&amp;stat_type=" TargetMode="External"/><Relationship Id="rId2" Type="http://schemas.openxmlformats.org/officeDocument/2006/relationships/hyperlink" Target="http://statsheet.com/mcb/teams/xavier/players?season=2001-2002" TargetMode="Externa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hyperlink" Target="http://www.sports-reference.com/cbb/schools/connecticut/1999.html" TargetMode="External"/><Relationship Id="rId2" Type="http://schemas.openxmlformats.org/officeDocument/2006/relationships/hyperlink" Target="http://www.teamrankings.com/ncaa-basketball/stat/offensive-efficiency?date=1999-03-30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www.sports-reference.com/cbb/schools/" TargetMode="External"/><Relationship Id="rId2" Type="http://schemas.openxmlformats.org/officeDocument/2006/relationships/hyperlink" Target="http://kenpom.com/" TargetMode="External"/><Relationship Id="rId3" Type="http://schemas.openxmlformats.org/officeDocument/2006/relationships/hyperlink" Target="http://kenpom.com/" TargetMode="External"/><Relationship Id="rId4" Type="http://schemas.openxmlformats.org/officeDocument/2006/relationships/hyperlink" Target="http://www.ncaa.com/stats/basketball-men/d1/current/team/147/p4" TargetMode="External"/><Relationship Id="rId5" Type="http://schemas.openxmlformats.org/officeDocument/2006/relationships/hyperlink" Target="http://www.cbssports.com/collegebasketball/bracketology/sos" TargetMode="External"/><Relationship Id="rId6" Type="http://schemas.openxmlformats.org/officeDocument/2006/relationships/hyperlink" Target="http://www.sports-reference.com/cbb/seasons/2016-coaches.html" TargetMode="External"/><Relationship Id="rId7" Type="http://schemas.openxmlformats.org/officeDocument/2006/relationships/hyperlink" Target="http://www.ncaa.com/stats/basketball-men/d1/current/team/217" TargetMode="External"/><Relationship Id="rId8" Type="http://schemas.openxmlformats.org/officeDocument/2006/relationships/hyperlink" Target="http://espn.go.com/mens-college-basketball/teams" TargetMode="External"/><Relationship Id="rId9" Type="http://schemas.openxmlformats.org/officeDocument/2006/relationships/hyperlink" Target="http://www.sports-reference.com/cbb/seasons/2016-school-stats.html" TargetMode="External"/><Relationship Id="rId10" Type="http://schemas.openxmlformats.org/officeDocument/2006/relationships/hyperlink" Target="http://i.turner.ncaa.com/sites/default/files/external/printable-bracket/2016/bracket-ncaa.pdf" TargetMode="External"/><Relationship Id="rId11" Type="http://schemas.openxmlformats.org/officeDocument/2006/relationships/hyperlink" Target="http://espn.go.com/mens-college-basketball/rpi/_/sort/RPI" TargetMode="External"/><Relationship Id="rId12" Type="http://schemas.openxmlformats.org/officeDocument/2006/relationships/hyperlink" Target="https://www.teamrankings.com/ncaa-basketball/ranking/last-10-games-by-other" TargetMode="External"/><Relationship Id="rId13" Type="http://schemas.openxmlformats.org/officeDocument/2006/relationships/hyperlink" Target="https://www.teamrankings.com/ncaa-basketball/stat/opponent-points-per-game" TargetMode="External"/><Relationship Id="rId14" Type="http://schemas.openxmlformats.org/officeDocument/2006/relationships/hyperlink" Target="http://espn.go.com/mens-college-basketball/statistics/team/_/stat/scoring-per-game/sort/gamesPlayed" TargetMode="External"/><Relationship Id="rId15" Type="http://schemas.openxmlformats.org/officeDocument/2006/relationships/hyperlink" Target="http://www.sports-reference.com/cbb/seasons/2016-coaches.html" TargetMode="External"/><Relationship Id="rId16" Type="http://schemas.openxmlformats.org/officeDocument/2006/relationships/hyperlink" Target="http://warrennolan.com/basketball/2016/polls/week/" TargetMode="External"/><Relationship Id="rId17" Type="http://schemas.openxmlformats.org/officeDocument/2006/relationships/hyperlink" Target="http://fivethirtyeight.com/features/how-fivethirtyeight-is-forecasting-the-2016-ncaa-tournament/" TargetMode="External"/><Relationship Id="rId18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://www.ncaa.com/stats/basketball-men/d1/current/team/168" TargetMode="External"/><Relationship Id="rId2" Type="http://schemas.openxmlformats.org/officeDocument/2006/relationships/hyperlink" Target="http://www.ncaa.com/stats/basketball-men/d1/current/team/147" TargetMode="External"/><Relationship Id="rId3" Type="http://schemas.openxmlformats.org/officeDocument/2006/relationships/hyperlink" Target="http://www.teamrankings.com/ncaa-basketball/stat/win-pct-close-games" TargetMode="External"/><Relationship Id="rId4" Type="http://schemas.openxmlformats.org/officeDocument/2006/relationships/hyperlink" Target="http://www.sports-reference.com/cbb/seasons/2014-school-stats.html" TargetMode="External"/><Relationship Id="rId5" Type="http://schemas.openxmlformats.org/officeDocument/2006/relationships/hyperlink" Target="http://www.sports-reference.com/cbb/seasons/2014-school-stats.html" TargetMode="External"/><Relationship Id="rId6" Type="http://schemas.openxmlformats.org/officeDocument/2006/relationships/hyperlink" Target="http://www.sports-reference.com/cbb/schools/" TargetMode="External"/><Relationship Id="rId7" Type="http://schemas.openxmlformats.org/officeDocument/2006/relationships/hyperlink" Target="http://www.cbssports.com/collegebasketball/bracketology/sos" TargetMode="External"/><Relationship Id="rId8" Type="http://schemas.openxmlformats.org/officeDocument/2006/relationships/hyperlink" Target="http://www.teamrankings.com/ncaa-basketball/team-stat/scoring-category" TargetMode="External"/><Relationship Id="rId9" Type="http://schemas.openxmlformats.org/officeDocument/2006/relationships/hyperlink" Target="http://www.teamrankings.com/ncaa-basketball/stat/opponent-points-per-game?date=2014-04-07" TargetMode="External"/><Relationship Id="rId10" Type="http://schemas.openxmlformats.org/officeDocument/2006/relationships/hyperlink" Target="http://espn.go.com/mens-college-basketball/statistics/team/_/stat/free-throws/year/2014" TargetMode="External"/><Relationship Id="rId11" Type="http://schemas.openxmlformats.org/officeDocument/2006/relationships/hyperlink" Target="http://www.teamrankings.com/ncaa-basketball/stat/opponent-offensive-rebounds-per-game?date=2014-04-07" TargetMode="External"/><Relationship Id="rId12" Type="http://schemas.openxmlformats.org/officeDocument/2006/relationships/hyperlink" Target="http://www.teamrankings.com/ncaa-basketball/stat/total-rebounds-per-game?date=2014-04-07" TargetMode="External"/><Relationship Id="rId13" Type="http://schemas.openxmlformats.org/officeDocument/2006/relationships/hyperlink" Target="http://www.teamrankings.com/ncaa-basketball/stat/average-scoring-margin?date=2014-04-07" TargetMode="External"/><Relationship Id="rId14" Type="http://schemas.openxmlformats.org/officeDocument/2006/relationships/hyperlink" Target="http://www.sports-reference.com/cbb/seasons/2014-coaches.html" TargetMode="External"/><Relationship Id="rId15" Type="http://schemas.openxmlformats.org/officeDocument/2006/relationships/hyperlink" Target="http://sports.usatoday.com/ncaa/salaries/mens-basketball/coach" TargetMode="External"/><Relationship Id="rId16" Type="http://schemas.openxmlformats.org/officeDocument/2006/relationships/hyperlink" Target="http://sports.usatoday.com/ncaa/salaries/mens-basketball/coach" TargetMode="External"/><Relationship Id="rId17" Type="http://schemas.openxmlformats.org/officeDocument/2006/relationships/hyperlink" Target="http://www.sports-reference.com/cbb/seasons/2014-coaches.html" TargetMode="External"/><Relationship Id="rId18" Type="http://schemas.openxmlformats.org/officeDocument/2006/relationships/hyperlink" Target="http://www.sports-reference.com/cbb/seasons/2014-coaches.html" TargetMode="External"/><Relationship Id="rId19" Type="http://schemas.openxmlformats.org/officeDocument/2006/relationships/hyperlink" Target="http://www.sports-reference.com/cbb/seasons/2014-coaches.html" TargetMode="External"/><Relationship Id="rId20" Type="http://schemas.openxmlformats.org/officeDocument/2006/relationships/hyperlink" Target="http://web1.ncaa.org/stats/StatsSrv/rankings" TargetMode="External"/><Relationship Id="rId21" Type="http://schemas.openxmlformats.org/officeDocument/2006/relationships/hyperlink" Target="http://web1.ncaa.org/stats/StatsSrv/rankings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http://fs.ncaa.org/Docs/stats/m_basketball_RB/Reports/attendanceYBYtop25.pdf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2.75" zeroHeight="false" outlineLevelRow="0" outlineLevelCol="0"/>
  <cols>
    <col collapsed="false" customWidth="true" hidden="false" outlineLevel="0" max="8" min="1" style="0" width="21.57"/>
    <col collapsed="false" customWidth="true" hidden="false" outlineLevel="0" max="1025" min="9" style="0" width="14.43"/>
  </cols>
  <sheetData>
    <row r="1" customFormat="false" ht="12.75" hidden="false" customHeight="false" outlineLevel="0" collapsed="false">
      <c r="A1" s="0" t="s">
        <v>0</v>
      </c>
      <c r="B1" s="1" t="s"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RowHeight="12.75" zeroHeight="false" outlineLevelRow="0" outlineLevelCol="0"/>
  <cols>
    <col collapsed="false" customWidth="true" hidden="false" outlineLevel="0" max="15" min="1" style="0" width="20.3"/>
    <col collapsed="false" customWidth="true" hidden="false" outlineLevel="0" max="19" min="16" style="0" width="17.29"/>
    <col collapsed="false" customWidth="true" hidden="false" outlineLevel="0" max="1025" min="20" style="0" width="14.43"/>
  </cols>
  <sheetData>
    <row r="1" customFormat="false" ht="12.75" hidden="false" customHeight="false" outlineLevel="0" collapsed="false">
      <c r="B1" s="1" t="s">
        <v>213</v>
      </c>
      <c r="D1" s="1" t="s">
        <v>473</v>
      </c>
      <c r="E1" s="1" t="s">
        <v>441</v>
      </c>
      <c r="F1" s="1" t="s">
        <v>442</v>
      </c>
      <c r="G1" s="1" t="s">
        <v>443</v>
      </c>
      <c r="H1" s="1" t="s">
        <v>444</v>
      </c>
      <c r="I1" s="1" t="s">
        <v>445</v>
      </c>
      <c r="J1" s="1" t="s">
        <v>474</v>
      </c>
      <c r="K1" s="1" t="s">
        <v>475</v>
      </c>
      <c r="L1" s="1" t="s">
        <v>446</v>
      </c>
      <c r="M1" s="1" t="s">
        <v>447</v>
      </c>
      <c r="N1" s="1" t="s">
        <v>448</v>
      </c>
      <c r="O1" s="1" t="s">
        <v>476</v>
      </c>
      <c r="P1" s="1" t="s">
        <v>16</v>
      </c>
      <c r="Q1" s="1" t="s">
        <v>451</v>
      </c>
      <c r="R1" s="1" t="s">
        <v>477</v>
      </c>
      <c r="S1" s="1" t="s">
        <v>453</v>
      </c>
    </row>
    <row r="2" customFormat="false" ht="12.75" hidden="false" customHeight="false" outlineLevel="0" collapsed="false">
      <c r="A2" s="1" t="s">
        <v>478</v>
      </c>
      <c r="B2" s="1" t="n">
        <v>0</v>
      </c>
      <c r="D2" s="1" t="n">
        <v>0.529</v>
      </c>
      <c r="E2" s="1" t="n">
        <v>9</v>
      </c>
      <c r="F2" s="1" t="n">
        <v>1</v>
      </c>
      <c r="G2" s="1" t="n">
        <v>0</v>
      </c>
      <c r="H2" s="1" t="n">
        <v>0</v>
      </c>
      <c r="I2" s="1" t="n">
        <v>5</v>
      </c>
      <c r="J2" s="1" t="n">
        <v>63.7</v>
      </c>
      <c r="K2" s="1" t="n">
        <v>64.3</v>
      </c>
      <c r="L2" s="1" t="n">
        <v>0</v>
      </c>
      <c r="M2" s="1" t="n">
        <v>16.7</v>
      </c>
      <c r="N2" s="1" t="n">
        <v>0.328042328</v>
      </c>
      <c r="O2" s="1" t="n">
        <v>0.233</v>
      </c>
      <c r="P2" s="1" t="n">
        <v>0.668</v>
      </c>
      <c r="Q2" s="1" t="n">
        <v>16</v>
      </c>
      <c r="R2" s="1" t="n">
        <v>-0.9</v>
      </c>
      <c r="S2" s="1" t="n">
        <v>0.583333333</v>
      </c>
    </row>
    <row r="3" customFormat="false" ht="12.75" hidden="false" customHeight="false" outlineLevel="0" collapsed="false">
      <c r="A3" s="1" t="s">
        <v>102</v>
      </c>
      <c r="B3" s="1" t="n">
        <v>3</v>
      </c>
      <c r="D3" s="1" t="n">
        <v>0.778</v>
      </c>
      <c r="E3" s="1" t="n">
        <v>8</v>
      </c>
      <c r="F3" s="1" t="n">
        <v>0</v>
      </c>
      <c r="G3" s="1" t="n">
        <v>1</v>
      </c>
      <c r="H3" s="1" t="n">
        <v>7</v>
      </c>
      <c r="I3" s="1" t="n">
        <v>5</v>
      </c>
      <c r="J3" s="1" t="n">
        <v>77</v>
      </c>
      <c r="K3" s="1" t="n">
        <v>65.6</v>
      </c>
      <c r="L3" s="1" t="n">
        <v>1</v>
      </c>
      <c r="M3" s="1" t="n">
        <v>13.6</v>
      </c>
      <c r="N3" s="1" t="n">
        <v>0.314578005</v>
      </c>
      <c r="O3" s="1" t="n">
        <v>0.276</v>
      </c>
      <c r="P3" s="1" t="n">
        <v>0.725</v>
      </c>
      <c r="Q3" s="1" t="n">
        <v>15</v>
      </c>
      <c r="R3" s="1" t="n">
        <v>16.8</v>
      </c>
      <c r="S3" s="1" t="n">
        <v>0.777777778</v>
      </c>
    </row>
    <row r="4" customFormat="false" ht="12.75" hidden="false" customHeight="false" outlineLevel="0" collapsed="false">
      <c r="A4" s="1" t="s">
        <v>428</v>
      </c>
      <c r="B4" s="1" t="n">
        <v>1</v>
      </c>
      <c r="D4" s="1" t="n">
        <v>0.833</v>
      </c>
      <c r="E4" s="1" t="n">
        <v>7</v>
      </c>
      <c r="F4" s="1" t="n">
        <v>0</v>
      </c>
      <c r="G4" s="1" t="n">
        <v>0</v>
      </c>
      <c r="H4" s="1" t="n">
        <v>4</v>
      </c>
      <c r="I4" s="1" t="n">
        <v>5</v>
      </c>
      <c r="J4" s="1" t="n">
        <v>83.1</v>
      </c>
      <c r="K4" s="1" t="n">
        <v>66.4</v>
      </c>
      <c r="L4" s="1" t="n">
        <v>3</v>
      </c>
      <c r="M4" s="1" t="n">
        <v>11.6</v>
      </c>
      <c r="N4" s="1" t="n">
        <v>0.275675676</v>
      </c>
      <c r="O4" s="1" t="n">
        <v>0.293</v>
      </c>
      <c r="P4" s="1" t="n">
        <v>0.79</v>
      </c>
      <c r="Q4" s="1" t="n">
        <v>15</v>
      </c>
      <c r="R4" s="1" t="n">
        <v>23.3</v>
      </c>
      <c r="S4" s="1" t="n">
        <v>0.5</v>
      </c>
    </row>
    <row r="5" customFormat="false" ht="12.75" hidden="false" customHeight="false" outlineLevel="0" collapsed="false">
      <c r="A5" s="1" t="s">
        <v>68</v>
      </c>
      <c r="B5" s="1" t="n">
        <v>5</v>
      </c>
      <c r="D5" s="1" t="n">
        <v>0.868</v>
      </c>
      <c r="E5" s="1" t="n">
        <v>10</v>
      </c>
      <c r="F5" s="1" t="n">
        <v>1</v>
      </c>
      <c r="G5" s="1" t="n">
        <v>0</v>
      </c>
      <c r="H5" s="1" t="n">
        <v>2</v>
      </c>
      <c r="I5" s="1" t="n">
        <v>3</v>
      </c>
      <c r="J5" s="1" t="n">
        <v>68.7</v>
      </c>
      <c r="K5" s="1" t="n">
        <v>59.4</v>
      </c>
      <c r="L5" s="1" t="n">
        <v>3</v>
      </c>
      <c r="M5" s="1" t="n">
        <v>12</v>
      </c>
      <c r="N5" s="1" t="n">
        <v>0.28440367</v>
      </c>
      <c r="O5" s="1" t="n">
        <v>0.299</v>
      </c>
      <c r="P5" s="1" t="n">
        <v>0.738</v>
      </c>
      <c r="Q5" s="1" t="n">
        <v>16</v>
      </c>
      <c r="R5" s="1" t="n">
        <v>14.5</v>
      </c>
      <c r="S5" s="1" t="n">
        <v>0.833333333</v>
      </c>
    </row>
    <row r="6" customFormat="false" ht="12.75" hidden="false" customHeight="false" outlineLevel="0" collapsed="false">
      <c r="A6" s="1" t="s">
        <v>179</v>
      </c>
      <c r="B6" s="1" t="n">
        <v>1</v>
      </c>
      <c r="D6" s="1" t="n">
        <v>0.686</v>
      </c>
      <c r="E6" s="1" t="n">
        <v>8</v>
      </c>
      <c r="F6" s="1" t="n">
        <v>0</v>
      </c>
      <c r="G6" s="1" t="n">
        <v>1</v>
      </c>
      <c r="H6" s="1" t="n">
        <v>3</v>
      </c>
      <c r="I6" s="1" t="n">
        <v>6</v>
      </c>
      <c r="J6" s="1" t="n">
        <v>77.2</v>
      </c>
      <c r="K6" s="1" t="n">
        <v>68.2</v>
      </c>
      <c r="L6" s="1" t="n">
        <v>1</v>
      </c>
      <c r="M6" s="1" t="n">
        <v>12</v>
      </c>
      <c r="N6" s="1" t="n">
        <v>0.318309859</v>
      </c>
      <c r="O6" s="1" t="n">
        <v>0.253</v>
      </c>
      <c r="P6" s="1" t="n">
        <v>0.757</v>
      </c>
      <c r="Q6" s="1" t="n">
        <v>21</v>
      </c>
      <c r="R6" s="1" t="n">
        <v>13.3</v>
      </c>
      <c r="S6" s="1" t="n">
        <v>0.3</v>
      </c>
    </row>
    <row r="7" customFormat="false" ht="12.75" hidden="false" customHeight="false" outlineLevel="0" collapsed="false">
      <c r="A7" s="1" t="s">
        <v>75</v>
      </c>
      <c r="B7" s="1" t="n">
        <v>0</v>
      </c>
      <c r="D7" s="1" t="n">
        <v>0.656</v>
      </c>
      <c r="E7" s="1" t="n">
        <v>6</v>
      </c>
      <c r="F7" s="1" t="n">
        <v>0</v>
      </c>
      <c r="G7" s="1" t="n">
        <v>1</v>
      </c>
      <c r="H7" s="1" t="n">
        <v>6</v>
      </c>
      <c r="I7" s="1" t="n">
        <v>6</v>
      </c>
      <c r="J7" s="1" t="n">
        <v>73.4</v>
      </c>
      <c r="K7" s="1" t="n">
        <v>64.5</v>
      </c>
      <c r="L7" s="1" t="n">
        <v>2</v>
      </c>
      <c r="M7" s="1" t="n">
        <v>15</v>
      </c>
      <c r="N7" s="1" t="n">
        <v>0.356948229</v>
      </c>
      <c r="O7" s="1" t="n">
        <v>0.276</v>
      </c>
      <c r="P7" s="1" t="n">
        <v>0.661</v>
      </c>
      <c r="Q7" s="1" t="n">
        <v>18</v>
      </c>
      <c r="R7" s="1" t="n">
        <v>12.7</v>
      </c>
      <c r="S7" s="1" t="n">
        <v>0.5</v>
      </c>
    </row>
    <row r="8" customFormat="false" ht="12.75" hidden="false" customHeight="false" outlineLevel="0" collapsed="false">
      <c r="A8" s="1" t="s">
        <v>479</v>
      </c>
      <c r="B8" s="1" t="n">
        <v>2</v>
      </c>
      <c r="D8" s="1" t="n">
        <v>0.853</v>
      </c>
      <c r="E8" s="1" t="n">
        <v>9</v>
      </c>
      <c r="F8" s="1" t="n">
        <v>1</v>
      </c>
      <c r="G8" s="1" t="n">
        <v>0</v>
      </c>
      <c r="H8" s="1" t="n">
        <v>1</v>
      </c>
      <c r="I8" s="1" t="n">
        <v>2</v>
      </c>
      <c r="J8" s="1" t="n">
        <v>74.9</v>
      </c>
      <c r="K8" s="1" t="n">
        <v>63.4</v>
      </c>
      <c r="L8" s="1" t="n">
        <v>2</v>
      </c>
      <c r="M8" s="1" t="n">
        <v>12.2</v>
      </c>
      <c r="N8" s="1" t="n">
        <v>0.304733728</v>
      </c>
      <c r="O8" s="1" t="n">
        <v>0.384</v>
      </c>
      <c r="P8" s="1" t="n">
        <v>0.73</v>
      </c>
      <c r="Q8" s="1" t="n">
        <v>21</v>
      </c>
      <c r="R8" s="1" t="n">
        <v>17.6</v>
      </c>
      <c r="S8" s="1" t="n">
        <v>0.857142857</v>
      </c>
    </row>
    <row r="9" customFormat="false" ht="12.75" hidden="false" customHeight="false" outlineLevel="0" collapsed="false">
      <c r="A9" s="1" t="s">
        <v>86</v>
      </c>
      <c r="B9" s="1" t="n">
        <v>6</v>
      </c>
      <c r="D9" s="1" t="n">
        <v>0.875</v>
      </c>
      <c r="E9" s="1" t="n">
        <v>9</v>
      </c>
      <c r="F9" s="1" t="n">
        <v>1</v>
      </c>
      <c r="G9" s="1" t="n">
        <v>1</v>
      </c>
      <c r="H9" s="1" t="n">
        <v>8</v>
      </c>
      <c r="I9" s="1" t="n">
        <v>4</v>
      </c>
      <c r="J9" s="1" t="n">
        <v>77</v>
      </c>
      <c r="K9" s="1" t="n">
        <v>61</v>
      </c>
      <c r="L9" s="1" t="n">
        <v>3</v>
      </c>
      <c r="M9" s="1" t="n">
        <v>10.9</v>
      </c>
      <c r="N9" s="1" t="n">
        <v>0.370179949</v>
      </c>
      <c r="O9" s="1" t="n">
        <v>0.293</v>
      </c>
      <c r="P9" s="1" t="n">
        <v>0.759</v>
      </c>
      <c r="Q9" s="1" t="n">
        <v>20</v>
      </c>
      <c r="R9" s="1" t="n">
        <v>24</v>
      </c>
      <c r="S9" s="1" t="n">
        <v>0.666666667</v>
      </c>
    </row>
    <row r="10" customFormat="false" ht="12.75" hidden="false" customHeight="false" outlineLevel="0" collapsed="false">
      <c r="A10" s="1" t="s">
        <v>480</v>
      </c>
      <c r="B10" s="1" t="n">
        <v>0</v>
      </c>
      <c r="D10" s="1" t="n">
        <v>0.571</v>
      </c>
      <c r="E10" s="1" t="n">
        <v>8</v>
      </c>
      <c r="F10" s="1" t="n">
        <v>1</v>
      </c>
      <c r="G10" s="1" t="n">
        <v>0</v>
      </c>
      <c r="H10" s="1" t="n">
        <v>0</v>
      </c>
      <c r="I10" s="1" t="n">
        <v>4</v>
      </c>
      <c r="J10" s="1" t="n">
        <v>69.3</v>
      </c>
      <c r="K10" s="1" t="n">
        <v>67.5</v>
      </c>
      <c r="L10" s="1" t="n">
        <v>1</v>
      </c>
      <c r="M10" s="1" t="n">
        <v>14.8</v>
      </c>
      <c r="N10" s="1" t="n">
        <v>0.347945205</v>
      </c>
      <c r="O10" s="1" t="n">
        <v>0.219</v>
      </c>
      <c r="P10" s="1" t="n">
        <v>0.659</v>
      </c>
      <c r="Q10" s="1" t="n">
        <v>15</v>
      </c>
      <c r="R10" s="1" t="n">
        <v>2.5</v>
      </c>
      <c r="S10" s="1" t="n">
        <v>0.5</v>
      </c>
    </row>
    <row r="11" customFormat="false" ht="12.75" hidden="false" customHeight="false" outlineLevel="0" collapsed="false">
      <c r="A11" s="1" t="s">
        <v>62</v>
      </c>
      <c r="B11" s="1" t="n">
        <v>0</v>
      </c>
      <c r="D11" s="1" t="n">
        <v>0.563</v>
      </c>
      <c r="E11" s="1" t="n">
        <v>4</v>
      </c>
      <c r="F11" s="1" t="n">
        <v>0</v>
      </c>
      <c r="G11" s="1" t="n">
        <v>1</v>
      </c>
      <c r="H11" s="1" t="n">
        <v>3</v>
      </c>
      <c r="I11" s="1" t="n">
        <v>8</v>
      </c>
      <c r="J11" s="1" t="n">
        <v>72.2</v>
      </c>
      <c r="K11" s="1" t="n">
        <v>66.4</v>
      </c>
      <c r="L11" s="1" t="n">
        <v>0</v>
      </c>
      <c r="M11" s="1" t="n">
        <v>12.4</v>
      </c>
      <c r="N11" s="1" t="n">
        <v>0.360215054</v>
      </c>
      <c r="O11" s="1" t="n">
        <v>0.248</v>
      </c>
      <c r="P11" s="1" t="n">
        <v>0.703</v>
      </c>
      <c r="Q11" s="1" t="n">
        <v>15</v>
      </c>
      <c r="R11" s="1" t="n">
        <v>8.6</v>
      </c>
      <c r="S11" s="1" t="n">
        <v>0.583333333</v>
      </c>
    </row>
    <row r="12" customFormat="false" ht="12.75" hidden="false" customHeight="false" outlineLevel="0" collapsed="false">
      <c r="A12" s="1" t="s">
        <v>481</v>
      </c>
      <c r="B12" s="1" t="n">
        <v>0</v>
      </c>
      <c r="D12" s="1" t="n">
        <v>0.688</v>
      </c>
      <c r="E12" s="1" t="n">
        <v>6</v>
      </c>
      <c r="F12" s="1" t="n">
        <v>0</v>
      </c>
      <c r="G12" s="1" t="n">
        <v>1</v>
      </c>
      <c r="H12" s="1" t="n">
        <v>4</v>
      </c>
      <c r="I12" s="1" t="n">
        <v>7</v>
      </c>
      <c r="J12" s="1" t="n">
        <v>68.2</v>
      </c>
      <c r="K12" s="1" t="n">
        <v>60.4</v>
      </c>
      <c r="L12" s="1" t="n">
        <v>1</v>
      </c>
      <c r="M12" s="1" t="n">
        <v>16.5</v>
      </c>
      <c r="N12" s="1" t="n">
        <v>0.335978836</v>
      </c>
      <c r="O12" s="1" t="n">
        <v>0.256</v>
      </c>
      <c r="P12" s="1" t="n">
        <v>0.644</v>
      </c>
      <c r="Q12" s="1" t="n">
        <v>15</v>
      </c>
      <c r="R12" s="1" t="n">
        <v>11.6</v>
      </c>
      <c r="S12" s="1" t="n">
        <v>0.8</v>
      </c>
    </row>
    <row r="13" customFormat="false" ht="12.75" hidden="false" customHeight="false" outlineLevel="0" collapsed="false">
      <c r="A13" s="1" t="s">
        <v>246</v>
      </c>
      <c r="B13" s="1" t="n">
        <v>0</v>
      </c>
      <c r="D13" s="1" t="n">
        <v>0.676</v>
      </c>
      <c r="E13" s="1" t="n">
        <v>5</v>
      </c>
      <c r="F13" s="1" t="n">
        <v>0</v>
      </c>
      <c r="G13" s="1" t="n">
        <v>1</v>
      </c>
      <c r="H13" s="1" t="n">
        <v>9</v>
      </c>
      <c r="I13" s="1" t="n">
        <v>8</v>
      </c>
      <c r="J13" s="1" t="n">
        <v>73.5</v>
      </c>
      <c r="K13" s="1" t="n">
        <v>66.1</v>
      </c>
      <c r="L13" s="1" t="n">
        <v>1</v>
      </c>
      <c r="M13" s="1" t="n">
        <v>13.9</v>
      </c>
      <c r="N13" s="1" t="n">
        <v>0.294294294</v>
      </c>
      <c r="O13" s="1" t="n">
        <v>0.254</v>
      </c>
      <c r="P13" s="1" t="n">
        <v>0.711</v>
      </c>
      <c r="Q13" s="1" t="n">
        <v>14</v>
      </c>
      <c r="R13" s="1" t="n">
        <v>11.2</v>
      </c>
      <c r="S13" s="1" t="n">
        <v>0.25</v>
      </c>
    </row>
    <row r="14" customFormat="false" ht="12.75" hidden="false" customHeight="false" outlineLevel="0" collapsed="false">
      <c r="A14" s="1" t="s">
        <v>482</v>
      </c>
      <c r="B14" s="1" t="n">
        <v>1</v>
      </c>
      <c r="D14" s="1" t="n">
        <v>0.639</v>
      </c>
      <c r="E14" s="1" t="n">
        <v>5</v>
      </c>
      <c r="F14" s="1" t="n">
        <v>0</v>
      </c>
      <c r="G14" s="1" t="n">
        <v>1</v>
      </c>
      <c r="H14" s="1" t="n">
        <v>6</v>
      </c>
      <c r="I14" s="1" t="n">
        <v>7</v>
      </c>
      <c r="J14" s="1" t="n">
        <v>72.8</v>
      </c>
      <c r="K14" s="1" t="n">
        <v>65.7</v>
      </c>
      <c r="L14" s="1" t="n">
        <v>0</v>
      </c>
      <c r="M14" s="1" t="n">
        <v>16.4</v>
      </c>
      <c r="N14" s="1" t="n">
        <v>0.333333333</v>
      </c>
      <c r="O14" s="1" t="n">
        <v>0.244</v>
      </c>
      <c r="P14" s="1" t="n">
        <v>0.657</v>
      </c>
      <c r="Q14" s="1" t="n">
        <v>15</v>
      </c>
      <c r="R14" s="1" t="n">
        <v>10</v>
      </c>
      <c r="S14" s="1" t="n">
        <v>0.642857143</v>
      </c>
    </row>
    <row r="15" customFormat="false" ht="12.75" hidden="false" customHeight="false" outlineLevel="0" collapsed="false">
      <c r="A15" s="1" t="s">
        <v>43</v>
      </c>
      <c r="B15" s="1" t="n">
        <v>1</v>
      </c>
      <c r="D15" s="1" t="n">
        <v>0.794</v>
      </c>
      <c r="E15" s="1" t="n">
        <v>8</v>
      </c>
      <c r="F15" s="1" t="n">
        <v>0</v>
      </c>
      <c r="G15" s="1" t="n">
        <v>0</v>
      </c>
      <c r="H15" s="1" t="n">
        <v>3</v>
      </c>
      <c r="I15" s="1" t="n">
        <v>4</v>
      </c>
      <c r="J15" s="1" t="n">
        <v>76.9</v>
      </c>
      <c r="K15" s="1" t="n">
        <v>67.4</v>
      </c>
      <c r="L15" s="1" t="n">
        <v>3</v>
      </c>
      <c r="M15" s="1" t="n">
        <v>13.1</v>
      </c>
      <c r="N15" s="1" t="n">
        <v>0.277777778</v>
      </c>
      <c r="O15" s="1" t="n">
        <v>0.209</v>
      </c>
      <c r="P15" s="1" t="n">
        <v>0.664</v>
      </c>
      <c r="Q15" s="1" t="n">
        <v>14</v>
      </c>
      <c r="R15" s="1" t="n">
        <v>13.5</v>
      </c>
      <c r="S15" s="1" t="n">
        <v>0.625</v>
      </c>
    </row>
    <row r="16" customFormat="false" ht="12.75" hidden="false" customHeight="false" outlineLevel="0" collapsed="false">
      <c r="A16" s="1" t="s">
        <v>45</v>
      </c>
      <c r="B16" s="1" t="n">
        <v>0</v>
      </c>
      <c r="D16" s="1" t="n">
        <v>0.543</v>
      </c>
      <c r="E16" s="1" t="n">
        <v>6</v>
      </c>
      <c r="F16" s="1" t="n">
        <v>1</v>
      </c>
      <c r="G16" s="1" t="n">
        <v>0</v>
      </c>
      <c r="H16" s="1" t="n">
        <v>2</v>
      </c>
      <c r="I16" s="1" t="n">
        <v>1</v>
      </c>
      <c r="J16" s="1" t="n">
        <v>78.6</v>
      </c>
      <c r="K16" s="1" t="n">
        <v>75</v>
      </c>
      <c r="L16" s="1" t="n">
        <v>0</v>
      </c>
      <c r="M16" s="1" t="n">
        <v>9</v>
      </c>
      <c r="N16" s="1" t="n">
        <v>0.371681416</v>
      </c>
      <c r="O16" s="1" t="n">
        <v>0.316</v>
      </c>
      <c r="P16" s="1" t="n">
        <v>0.71</v>
      </c>
      <c r="Q16" s="1" t="n">
        <v>11</v>
      </c>
      <c r="R16" s="1" t="n">
        <v>5.1</v>
      </c>
      <c r="S16" s="1" t="n">
        <v>0.285714286</v>
      </c>
    </row>
    <row r="17" customFormat="false" ht="12.75" hidden="false" customHeight="false" outlineLevel="0" collapsed="false">
      <c r="A17" s="1" t="s">
        <v>71</v>
      </c>
      <c r="B17" s="1" t="n">
        <v>1</v>
      </c>
      <c r="D17" s="1" t="n">
        <v>0.917</v>
      </c>
      <c r="E17" s="1" t="n">
        <v>9</v>
      </c>
      <c r="F17" s="1" t="n">
        <v>1</v>
      </c>
      <c r="G17" s="1" t="n">
        <v>1</v>
      </c>
      <c r="H17" s="1" t="n">
        <v>13</v>
      </c>
      <c r="I17" s="1" t="n">
        <v>2</v>
      </c>
      <c r="J17" s="1" t="n">
        <v>81.6</v>
      </c>
      <c r="K17" s="1" t="n">
        <v>64.2</v>
      </c>
      <c r="L17" s="1" t="n">
        <v>3</v>
      </c>
      <c r="M17" s="1" t="n">
        <v>13.1</v>
      </c>
      <c r="N17" s="1" t="n">
        <v>0.320987654</v>
      </c>
      <c r="O17" s="1" t="n">
        <v>0.268</v>
      </c>
      <c r="P17" s="1" t="n">
        <v>0.699</v>
      </c>
      <c r="Q17" s="1" t="n">
        <v>15</v>
      </c>
      <c r="R17" s="1" t="n">
        <v>24.8</v>
      </c>
      <c r="S17" s="1" t="n">
        <v>0.8</v>
      </c>
    </row>
    <row r="18" customFormat="false" ht="12.75" hidden="false" customHeight="false" outlineLevel="0" collapsed="false">
      <c r="A18" s="1" t="s">
        <v>483</v>
      </c>
      <c r="B18" s="1" t="n">
        <v>3</v>
      </c>
      <c r="D18" s="1" t="n">
        <v>0.784</v>
      </c>
      <c r="E18" s="1" t="n">
        <v>7</v>
      </c>
      <c r="F18" s="1" t="n">
        <v>0</v>
      </c>
      <c r="G18" s="1" t="n">
        <v>1</v>
      </c>
      <c r="H18" s="1" t="n">
        <v>9</v>
      </c>
      <c r="I18" s="1" t="n">
        <v>5</v>
      </c>
      <c r="J18" s="1" t="n">
        <v>79.7</v>
      </c>
      <c r="K18" s="1" t="n">
        <v>69.8</v>
      </c>
      <c r="L18" s="1" t="n">
        <v>1</v>
      </c>
      <c r="M18" s="1" t="n">
        <v>14.3</v>
      </c>
      <c r="N18" s="1" t="n">
        <v>0.389175258</v>
      </c>
      <c r="O18" s="1" t="n">
        <v>0.257</v>
      </c>
      <c r="P18" s="1" t="n">
        <v>0.668</v>
      </c>
      <c r="Q18" s="1" t="n">
        <v>19</v>
      </c>
      <c r="R18" s="1" t="n">
        <v>13.6</v>
      </c>
      <c r="S18" s="1" t="n">
        <v>0.571428571</v>
      </c>
    </row>
    <row r="19" customFormat="false" ht="12.75" hidden="false" customHeight="false" outlineLevel="0" collapsed="false">
      <c r="A19" s="1" t="s">
        <v>24</v>
      </c>
      <c r="B19" s="1" t="n">
        <v>3</v>
      </c>
      <c r="D19" s="1" t="n">
        <v>0.921</v>
      </c>
      <c r="E19" s="1" t="n">
        <v>9</v>
      </c>
      <c r="F19" s="1" t="n">
        <v>1</v>
      </c>
      <c r="G19" s="1" t="n">
        <v>1</v>
      </c>
      <c r="H19" s="1" t="n">
        <v>8</v>
      </c>
      <c r="I19" s="1" t="n">
        <v>1</v>
      </c>
      <c r="J19" s="1" t="n">
        <v>79.3</v>
      </c>
      <c r="K19" s="1" t="n">
        <v>65.5</v>
      </c>
      <c r="L19" s="1" t="n">
        <v>1</v>
      </c>
      <c r="M19" s="1" t="n">
        <v>14.4</v>
      </c>
      <c r="N19" s="1" t="n">
        <v>0.345323741</v>
      </c>
      <c r="O19" s="1" t="n">
        <v>0.23</v>
      </c>
      <c r="P19" s="1" t="n">
        <v>0.668</v>
      </c>
      <c r="Q19" s="1" t="n">
        <v>10</v>
      </c>
      <c r="R19" s="1" t="n">
        <v>20.2</v>
      </c>
      <c r="S19" s="1" t="n">
        <v>1</v>
      </c>
    </row>
    <row r="20" customFormat="false" ht="12.75" hidden="false" customHeight="false" outlineLevel="0" collapsed="false">
      <c r="A20" s="1" t="s">
        <v>394</v>
      </c>
      <c r="B20" s="1" t="n">
        <v>0</v>
      </c>
      <c r="D20" s="1" t="n">
        <v>0.667</v>
      </c>
      <c r="E20" s="1" t="n">
        <v>8</v>
      </c>
      <c r="F20" s="1" t="n">
        <v>1</v>
      </c>
      <c r="G20" s="1" t="n">
        <v>0</v>
      </c>
      <c r="H20" s="1" t="n">
        <v>0</v>
      </c>
      <c r="I20" s="1" t="n">
        <v>1</v>
      </c>
      <c r="J20" s="1" t="n">
        <v>75.1</v>
      </c>
      <c r="K20" s="1" t="n">
        <v>70.6</v>
      </c>
      <c r="L20" s="1" t="n">
        <v>0</v>
      </c>
      <c r="M20" s="1" t="n">
        <v>13</v>
      </c>
      <c r="N20" s="1" t="n">
        <v>0.282967033</v>
      </c>
      <c r="O20" s="1" t="n">
        <v>0.266</v>
      </c>
      <c r="P20" s="1" t="n">
        <v>0.718</v>
      </c>
      <c r="Q20" s="1" t="n">
        <v>17</v>
      </c>
      <c r="R20" s="1" t="n">
        <v>6.3</v>
      </c>
      <c r="S20" s="1" t="n">
        <v>0</v>
      </c>
    </row>
    <row r="21" customFormat="false" ht="12.75" hidden="false" customHeight="false" outlineLevel="0" collapsed="false">
      <c r="A21" s="1" t="s">
        <v>109</v>
      </c>
      <c r="B21" s="1" t="n">
        <v>0</v>
      </c>
      <c r="D21" s="1" t="n">
        <v>0.606</v>
      </c>
      <c r="E21" s="1" t="n">
        <v>6</v>
      </c>
      <c r="F21" s="1" t="n">
        <v>0</v>
      </c>
      <c r="G21" s="1" t="n">
        <v>1</v>
      </c>
      <c r="H21" s="1" t="n">
        <v>5</v>
      </c>
      <c r="I21" s="1" t="n">
        <v>7</v>
      </c>
      <c r="J21" s="1" t="n">
        <v>75.9</v>
      </c>
      <c r="K21" s="1" t="n">
        <v>69.8</v>
      </c>
      <c r="L21" s="1" t="n">
        <v>3</v>
      </c>
      <c r="M21" s="1" t="n">
        <v>13.7</v>
      </c>
      <c r="N21" s="1" t="n">
        <v>0.391891892</v>
      </c>
      <c r="O21" s="1" t="n">
        <v>0.314</v>
      </c>
      <c r="P21" s="1" t="n">
        <v>0.701</v>
      </c>
      <c r="Q21" s="1" t="n">
        <v>19</v>
      </c>
      <c r="R21" s="1" t="n">
        <v>8.9</v>
      </c>
      <c r="S21" s="1" t="n">
        <v>0.285714286</v>
      </c>
    </row>
    <row r="22" customFormat="false" ht="12.75" hidden="false" customHeight="false" outlineLevel="0" collapsed="false">
      <c r="A22" s="1" t="s">
        <v>110</v>
      </c>
      <c r="B22" s="1" t="n">
        <v>0</v>
      </c>
      <c r="D22" s="1" t="n">
        <v>0.647</v>
      </c>
      <c r="E22" s="1" t="n">
        <v>7</v>
      </c>
      <c r="F22" s="1" t="n">
        <v>0</v>
      </c>
      <c r="G22" s="1" t="n">
        <v>1</v>
      </c>
      <c r="H22" s="1" t="n">
        <v>4</v>
      </c>
      <c r="I22" s="1" t="n">
        <v>9</v>
      </c>
      <c r="J22" s="1" t="n">
        <v>73.1</v>
      </c>
      <c r="K22" s="1" t="n">
        <v>64.6</v>
      </c>
      <c r="L22" s="1" t="n">
        <v>3</v>
      </c>
      <c r="M22" s="1" t="n">
        <v>10.4</v>
      </c>
      <c r="N22" s="1" t="n">
        <v>0.320634921</v>
      </c>
      <c r="O22" s="1" t="n">
        <v>0.331</v>
      </c>
      <c r="P22" s="1" t="n">
        <v>0.741</v>
      </c>
      <c r="Q22" s="1" t="n">
        <v>16</v>
      </c>
      <c r="R22" s="1" t="n">
        <v>12.9</v>
      </c>
      <c r="S22" s="1" t="n">
        <v>0.470588235</v>
      </c>
    </row>
    <row r="23" customFormat="false" ht="12.75" hidden="false" customHeight="false" outlineLevel="0" collapsed="false">
      <c r="A23" s="1" t="s">
        <v>111</v>
      </c>
      <c r="B23" s="1" t="n">
        <v>1</v>
      </c>
      <c r="D23" s="1" t="n">
        <v>0.727</v>
      </c>
      <c r="E23" s="1" t="n">
        <v>8</v>
      </c>
      <c r="F23" s="1" t="n">
        <v>0</v>
      </c>
      <c r="G23" s="1" t="n">
        <v>1</v>
      </c>
      <c r="H23" s="1" t="n">
        <v>5</v>
      </c>
      <c r="I23" s="1" t="n">
        <v>6</v>
      </c>
      <c r="J23" s="1" t="n">
        <v>79.7</v>
      </c>
      <c r="K23" s="1" t="n">
        <v>68.3</v>
      </c>
      <c r="L23" s="1" t="n">
        <v>1</v>
      </c>
      <c r="M23" s="1" t="n">
        <v>11.6</v>
      </c>
      <c r="N23" s="1" t="n">
        <v>0.332467532</v>
      </c>
      <c r="O23" s="1" t="n">
        <v>0.223</v>
      </c>
      <c r="P23" s="1" t="n">
        <v>0.729</v>
      </c>
      <c r="Q23" s="1" t="n">
        <v>18</v>
      </c>
      <c r="R23" s="1" t="n">
        <v>16</v>
      </c>
      <c r="S23" s="1" t="n">
        <v>0.5</v>
      </c>
    </row>
    <row r="24" customFormat="false" ht="12.75" hidden="false" customHeight="false" outlineLevel="0" collapsed="false">
      <c r="A24" s="1" t="s">
        <v>484</v>
      </c>
      <c r="B24" s="1" t="n">
        <v>4</v>
      </c>
      <c r="D24" s="1" t="n">
        <v>0.757</v>
      </c>
      <c r="E24" s="1" t="n">
        <v>5</v>
      </c>
      <c r="F24" s="1" t="n">
        <v>0</v>
      </c>
      <c r="G24" s="1" t="n">
        <v>1</v>
      </c>
      <c r="H24" s="1" t="n">
        <v>7</v>
      </c>
      <c r="I24" s="1" t="n">
        <v>6</v>
      </c>
      <c r="J24" s="1" t="n">
        <v>71.8</v>
      </c>
      <c r="K24" s="1" t="n">
        <v>63.8</v>
      </c>
      <c r="L24" s="1" t="n">
        <v>3</v>
      </c>
      <c r="M24" s="1" t="n">
        <v>13.9</v>
      </c>
      <c r="N24" s="1" t="n">
        <v>0.342857143</v>
      </c>
      <c r="O24" s="1" t="n">
        <v>0.211</v>
      </c>
      <c r="P24" s="1" t="n">
        <v>0.685</v>
      </c>
      <c r="Q24" s="1" t="n">
        <v>17</v>
      </c>
      <c r="R24" s="1" t="n">
        <v>12.2</v>
      </c>
      <c r="S24" s="1" t="n">
        <v>0.285714286</v>
      </c>
    </row>
    <row r="25" customFormat="false" ht="12.75" hidden="false" customHeight="false" outlineLevel="0" collapsed="false">
      <c r="A25" s="1" t="s">
        <v>114</v>
      </c>
      <c r="B25" s="1" t="n">
        <v>0</v>
      </c>
      <c r="D25" s="1" t="n">
        <v>0.6</v>
      </c>
      <c r="E25" s="1" t="n">
        <v>7</v>
      </c>
      <c r="F25" s="1" t="n">
        <v>0</v>
      </c>
      <c r="G25" s="1" t="n">
        <v>1</v>
      </c>
      <c r="H25" s="1" t="n">
        <v>6</v>
      </c>
      <c r="I25" s="1" t="n">
        <v>7</v>
      </c>
      <c r="J25" s="1" t="n">
        <v>72.4</v>
      </c>
      <c r="K25" s="1" t="n">
        <v>64.1</v>
      </c>
      <c r="L25" s="1" t="n">
        <v>1</v>
      </c>
      <c r="M25" s="1" t="n">
        <v>12.6</v>
      </c>
      <c r="N25" s="1" t="n">
        <v>0.30878187</v>
      </c>
      <c r="O25" s="1" t="n">
        <v>0.291</v>
      </c>
      <c r="P25" s="1" t="n">
        <v>0.7</v>
      </c>
      <c r="Q25" s="1" t="n">
        <v>18</v>
      </c>
      <c r="R25" s="1" t="n">
        <v>12.6</v>
      </c>
      <c r="S25" s="1" t="n">
        <v>0.416666667</v>
      </c>
    </row>
    <row r="26" customFormat="false" ht="12.75" hidden="false" customHeight="false" outlineLevel="0" collapsed="false">
      <c r="A26" s="1" t="s">
        <v>39</v>
      </c>
      <c r="B26" s="1" t="n">
        <v>1</v>
      </c>
      <c r="D26" s="1" t="n">
        <v>0.676</v>
      </c>
      <c r="E26" s="1" t="n">
        <v>6</v>
      </c>
      <c r="F26" s="1" t="n">
        <v>0</v>
      </c>
      <c r="G26" s="1" t="n">
        <v>1</v>
      </c>
      <c r="H26" s="1" t="n">
        <v>5</v>
      </c>
      <c r="I26" s="1" t="n">
        <v>7</v>
      </c>
      <c r="J26" s="1" t="n">
        <v>77.3</v>
      </c>
      <c r="K26" s="1" t="n">
        <v>66.2</v>
      </c>
      <c r="L26" s="1" t="n">
        <v>1</v>
      </c>
      <c r="M26" s="1" t="n">
        <v>12.7</v>
      </c>
      <c r="N26" s="1" t="n">
        <v>0.368271955</v>
      </c>
      <c r="O26" s="1" t="n">
        <v>0.295</v>
      </c>
      <c r="P26" s="1" t="n">
        <v>0.724</v>
      </c>
      <c r="Q26" s="1" t="n">
        <v>16</v>
      </c>
      <c r="R26" s="1" t="n">
        <v>15.4</v>
      </c>
      <c r="S26" s="1" t="n">
        <v>0.5</v>
      </c>
    </row>
    <row r="27" customFormat="false" ht="12.75" hidden="false" customHeight="false" outlineLevel="0" collapsed="false">
      <c r="A27" s="1" t="s">
        <v>48</v>
      </c>
      <c r="B27" s="1" t="n">
        <v>0</v>
      </c>
      <c r="D27" s="1" t="n">
        <v>0.688</v>
      </c>
      <c r="E27" s="1" t="n">
        <v>8</v>
      </c>
      <c r="F27" s="1" t="n">
        <v>1</v>
      </c>
      <c r="G27" s="1" t="n">
        <v>0</v>
      </c>
      <c r="H27" s="1" t="n">
        <v>0</v>
      </c>
      <c r="I27" s="1" t="n">
        <v>1</v>
      </c>
      <c r="J27" s="1" t="n">
        <v>69.6</v>
      </c>
      <c r="K27" s="1" t="n">
        <v>61.2</v>
      </c>
      <c r="L27" s="1" t="n">
        <v>0</v>
      </c>
      <c r="M27" s="1" t="n">
        <v>12.2</v>
      </c>
      <c r="N27" s="1" t="n">
        <v>0.268292683</v>
      </c>
      <c r="O27" s="1" t="n">
        <v>0.283</v>
      </c>
      <c r="P27" s="1" t="n">
        <v>0.723</v>
      </c>
      <c r="Q27" s="1" t="n">
        <v>16</v>
      </c>
      <c r="R27" s="1" t="n">
        <v>13.2</v>
      </c>
      <c r="S27" s="1" t="n">
        <v>0.583333333</v>
      </c>
    </row>
    <row r="28" customFormat="false" ht="12.75" hidden="false" customHeight="false" outlineLevel="0" collapsed="false">
      <c r="A28" s="1" t="s">
        <v>485</v>
      </c>
      <c r="B28" s="1" t="n">
        <v>0</v>
      </c>
      <c r="D28" s="1" t="n">
        <v>0.73</v>
      </c>
      <c r="E28" s="1" t="n">
        <v>8</v>
      </c>
      <c r="F28" s="1" t="n">
        <v>1</v>
      </c>
      <c r="G28" s="1" t="n">
        <v>0</v>
      </c>
      <c r="H28" s="1" t="n">
        <v>1</v>
      </c>
      <c r="I28" s="1" t="n">
        <v>5</v>
      </c>
      <c r="J28" s="1" t="n">
        <v>76</v>
      </c>
      <c r="K28" s="1" t="n">
        <v>70.4</v>
      </c>
      <c r="L28" s="1" t="n">
        <v>1</v>
      </c>
      <c r="M28" s="1" t="n">
        <v>13.5</v>
      </c>
      <c r="N28" s="1" t="n">
        <v>0.380597015</v>
      </c>
      <c r="O28" s="1" t="n">
        <v>0.218</v>
      </c>
      <c r="P28" s="1" t="n">
        <v>0.7</v>
      </c>
      <c r="Q28" s="1" t="n">
        <v>12</v>
      </c>
      <c r="R28" s="1" t="n">
        <v>7.9</v>
      </c>
      <c r="S28" s="1" t="n">
        <v>0.7</v>
      </c>
    </row>
    <row r="29" customFormat="false" ht="12.75" hidden="false" customHeight="false" outlineLevel="0" collapsed="false">
      <c r="A29" s="1" t="s">
        <v>486</v>
      </c>
      <c r="B29" s="1" t="n">
        <v>1</v>
      </c>
      <c r="D29" s="1" t="n">
        <v>0.861</v>
      </c>
      <c r="E29" s="1" t="n">
        <v>9</v>
      </c>
      <c r="F29" s="1" t="n">
        <v>1</v>
      </c>
      <c r="G29" s="1" t="n">
        <v>0</v>
      </c>
      <c r="H29" s="1" t="n">
        <v>2</v>
      </c>
      <c r="I29" s="1" t="n">
        <v>1</v>
      </c>
      <c r="J29" s="1" t="n">
        <v>76.5</v>
      </c>
      <c r="K29" s="1" t="n">
        <v>60.4</v>
      </c>
      <c r="L29" s="1" t="n">
        <v>0</v>
      </c>
      <c r="M29" s="1" t="n">
        <v>14.6</v>
      </c>
      <c r="N29" s="1" t="n">
        <v>0.333333333</v>
      </c>
      <c r="O29" s="1" t="n">
        <v>0.246</v>
      </c>
      <c r="P29" s="1" t="n">
        <v>0.695</v>
      </c>
      <c r="Q29" s="1" t="n">
        <v>17</v>
      </c>
      <c r="R29" s="1" t="n">
        <v>23.6</v>
      </c>
      <c r="S29" s="1" t="n">
        <v>0.625</v>
      </c>
    </row>
    <row r="30" customFormat="false" ht="12.75" hidden="false" customHeight="false" outlineLevel="0" collapsed="false">
      <c r="A30" s="1" t="s">
        <v>330</v>
      </c>
      <c r="B30" s="1" t="n">
        <v>1</v>
      </c>
      <c r="D30" s="1" t="n">
        <v>0.857</v>
      </c>
      <c r="E30" s="1" t="n">
        <v>9</v>
      </c>
      <c r="F30" s="1" t="n">
        <v>1</v>
      </c>
      <c r="G30" s="1" t="n">
        <v>0</v>
      </c>
      <c r="H30" s="1" t="n">
        <v>8</v>
      </c>
      <c r="I30" s="1" t="n">
        <v>3</v>
      </c>
      <c r="J30" s="1" t="n">
        <v>75.9</v>
      </c>
      <c r="K30" s="1" t="n">
        <v>67.2</v>
      </c>
      <c r="L30" s="1" t="n">
        <v>0</v>
      </c>
      <c r="M30" s="1" t="n">
        <v>11.1</v>
      </c>
      <c r="N30" s="1" t="n">
        <v>0.34025974</v>
      </c>
      <c r="O30" s="1" t="n">
        <v>0.308</v>
      </c>
      <c r="P30" s="1" t="n">
        <v>0.669</v>
      </c>
      <c r="Q30" s="1" t="n">
        <v>14</v>
      </c>
      <c r="R30" s="1" t="n">
        <v>12.7</v>
      </c>
      <c r="S30" s="1" t="n">
        <v>0.916666667</v>
      </c>
    </row>
    <row r="31" customFormat="false" ht="12.75" hidden="false" customHeight="false" outlineLevel="0" collapsed="false">
      <c r="A31" s="1" t="s">
        <v>487</v>
      </c>
      <c r="B31" s="1" t="n">
        <v>0</v>
      </c>
      <c r="D31" s="1" t="n">
        <v>0.647</v>
      </c>
      <c r="E31" s="1" t="n">
        <v>7</v>
      </c>
      <c r="F31" s="1" t="n">
        <v>1</v>
      </c>
      <c r="G31" s="1" t="n">
        <v>0</v>
      </c>
      <c r="H31" s="1" t="n">
        <v>3</v>
      </c>
      <c r="I31" s="1" t="n">
        <v>5</v>
      </c>
      <c r="J31" s="1" t="n">
        <v>78.3</v>
      </c>
      <c r="K31" s="1" t="n">
        <v>77.6</v>
      </c>
      <c r="L31" s="1" t="n">
        <v>0</v>
      </c>
      <c r="M31" s="1" t="n">
        <v>12.9</v>
      </c>
      <c r="N31" s="1" t="n">
        <v>0.29494382</v>
      </c>
      <c r="O31" s="1" t="n">
        <v>0.323</v>
      </c>
      <c r="P31" s="1" t="n">
        <v>0.7</v>
      </c>
      <c r="Q31" s="1" t="n">
        <v>16</v>
      </c>
      <c r="R31" s="1" t="n">
        <v>1</v>
      </c>
      <c r="S31" s="1" t="n">
        <v>0.888888889</v>
      </c>
    </row>
    <row r="32" customFormat="false" ht="12.75" hidden="false" customHeight="false" outlineLevel="0" collapsed="false">
      <c r="A32" s="1" t="s">
        <v>421</v>
      </c>
      <c r="B32" s="1" t="n">
        <v>0</v>
      </c>
      <c r="D32" s="1" t="n">
        <v>0.727</v>
      </c>
      <c r="E32" s="1" t="n">
        <v>10</v>
      </c>
      <c r="F32" s="1" t="n">
        <v>1</v>
      </c>
      <c r="G32" s="1" t="n">
        <v>0</v>
      </c>
      <c r="H32" s="1" t="n">
        <v>0</v>
      </c>
      <c r="I32" s="1" t="n">
        <v>2</v>
      </c>
      <c r="J32" s="1" t="n">
        <v>73.8</v>
      </c>
      <c r="K32" s="1" t="n">
        <v>69.8</v>
      </c>
      <c r="L32" s="1" t="n">
        <v>0</v>
      </c>
      <c r="M32" s="1" t="n">
        <v>14.7</v>
      </c>
      <c r="N32" s="1" t="n">
        <v>0.297297297</v>
      </c>
      <c r="O32" s="1" t="n">
        <v>0.22</v>
      </c>
      <c r="P32" s="1" t="n">
        <v>0.719</v>
      </c>
      <c r="Q32" s="1" t="n">
        <v>14</v>
      </c>
      <c r="R32" s="1" t="n">
        <v>5.8</v>
      </c>
      <c r="S32" s="1" t="n">
        <v>0.846153846</v>
      </c>
    </row>
    <row r="33" customFormat="false" ht="12.75" hidden="false" customHeight="false" outlineLevel="0" collapsed="false">
      <c r="A33" s="1" t="s">
        <v>195</v>
      </c>
      <c r="B33" s="1" t="n">
        <v>2</v>
      </c>
      <c r="D33" s="1" t="n">
        <v>0.857</v>
      </c>
      <c r="E33" s="1" t="n">
        <v>8</v>
      </c>
      <c r="F33" s="1" t="n">
        <v>1</v>
      </c>
      <c r="G33" s="1" t="n">
        <v>0</v>
      </c>
      <c r="H33" s="1" t="n">
        <v>2</v>
      </c>
      <c r="I33" s="1" t="n">
        <v>0</v>
      </c>
      <c r="J33" s="1" t="n">
        <v>63.3</v>
      </c>
      <c r="K33" s="1" t="n">
        <v>55.1</v>
      </c>
      <c r="L33" s="1" t="n">
        <v>1</v>
      </c>
      <c r="M33" s="1" t="n">
        <v>10.6</v>
      </c>
      <c r="N33" s="1" t="n">
        <v>0.294117647</v>
      </c>
      <c r="O33" s="1" t="n">
        <v>0.315</v>
      </c>
      <c r="P33" s="1" t="n">
        <v>0.758</v>
      </c>
      <c r="Q33" s="1" t="n">
        <v>18</v>
      </c>
      <c r="R33" s="1" t="n">
        <v>13.8</v>
      </c>
      <c r="S33" s="1" t="n">
        <v>0.875</v>
      </c>
    </row>
    <row r="34" customFormat="false" ht="12.75" hidden="false" customHeight="false" outlineLevel="0" collapsed="false">
      <c r="A34" s="1" t="s">
        <v>121</v>
      </c>
      <c r="B34" s="1" t="n">
        <v>0</v>
      </c>
      <c r="D34" s="1" t="n">
        <v>0.657</v>
      </c>
      <c r="E34" s="1" t="n">
        <v>6</v>
      </c>
      <c r="F34" s="1" t="n">
        <v>0</v>
      </c>
      <c r="G34" s="1" t="n">
        <v>1</v>
      </c>
      <c r="H34" s="1" t="n">
        <v>5</v>
      </c>
      <c r="I34" s="1" t="n">
        <v>4</v>
      </c>
      <c r="J34" s="1" t="n">
        <v>75.3</v>
      </c>
      <c r="K34" s="1" t="n">
        <v>68.4</v>
      </c>
      <c r="L34" s="1" t="n">
        <v>1</v>
      </c>
      <c r="M34" s="1" t="n">
        <v>10.3</v>
      </c>
      <c r="N34" s="1" t="n">
        <v>0.322128852</v>
      </c>
      <c r="O34" s="1" t="n">
        <v>0.297</v>
      </c>
      <c r="P34" s="1" t="n">
        <v>0.723</v>
      </c>
      <c r="Q34" s="1" t="n">
        <v>18</v>
      </c>
      <c r="R34" s="1" t="n">
        <v>10.7</v>
      </c>
      <c r="S34" s="1" t="n">
        <v>0.384615385</v>
      </c>
    </row>
    <row r="35" customFormat="false" ht="12.75" hidden="false" customHeight="false" outlineLevel="0" collapsed="false">
      <c r="A35" s="1" t="s">
        <v>462</v>
      </c>
      <c r="B35" s="1" t="n">
        <v>0</v>
      </c>
      <c r="D35" s="1" t="n">
        <v>0.743</v>
      </c>
      <c r="E35" s="1" t="n">
        <v>10</v>
      </c>
      <c r="F35" s="1" t="n">
        <v>1</v>
      </c>
      <c r="G35" s="1" t="n">
        <v>0</v>
      </c>
      <c r="H35" s="1" t="n">
        <v>0</v>
      </c>
      <c r="I35" s="1" t="n">
        <v>4</v>
      </c>
      <c r="J35" s="1" t="n">
        <v>76.5</v>
      </c>
      <c r="K35" s="1" t="n">
        <v>71</v>
      </c>
      <c r="L35" s="1" t="n">
        <v>0</v>
      </c>
      <c r="M35" s="1" t="n">
        <v>13.9</v>
      </c>
      <c r="N35" s="1" t="n">
        <v>0.354166667</v>
      </c>
      <c r="O35" s="1" t="n">
        <v>0.231</v>
      </c>
      <c r="P35" s="1" t="n">
        <v>0.719</v>
      </c>
      <c r="Q35" s="1" t="n">
        <v>18</v>
      </c>
      <c r="R35" s="1" t="n">
        <v>6.9</v>
      </c>
      <c r="S35" s="1" t="n">
        <v>0.875</v>
      </c>
    </row>
    <row r="36" customFormat="false" ht="12.75" hidden="false" customHeight="false" outlineLevel="0" collapsed="false">
      <c r="A36" s="1" t="s">
        <v>403</v>
      </c>
      <c r="B36" s="1" t="n">
        <v>1</v>
      </c>
      <c r="D36" s="1" t="n">
        <v>0.595</v>
      </c>
      <c r="E36" s="1" t="n">
        <v>7</v>
      </c>
      <c r="F36" s="1" t="n">
        <v>1</v>
      </c>
      <c r="G36" s="1" t="n">
        <v>0</v>
      </c>
      <c r="H36" s="1" t="n">
        <v>0</v>
      </c>
      <c r="I36" s="1" t="n">
        <v>2</v>
      </c>
      <c r="J36" s="1" t="n">
        <v>74.7</v>
      </c>
      <c r="K36" s="1" t="n">
        <v>69.4</v>
      </c>
      <c r="L36" s="1" t="n">
        <v>0</v>
      </c>
      <c r="M36" s="1" t="n">
        <v>12.8</v>
      </c>
      <c r="N36" s="1" t="n">
        <v>0.323450135</v>
      </c>
      <c r="O36" s="1" t="n">
        <v>0.302</v>
      </c>
      <c r="P36" s="1" t="n">
        <v>0.719</v>
      </c>
      <c r="Q36" s="1" t="n">
        <v>18</v>
      </c>
      <c r="R36" s="1" t="n">
        <v>7.5</v>
      </c>
      <c r="S36" s="1" t="n">
        <v>0.272727273</v>
      </c>
    </row>
    <row r="37" customFormat="false" ht="12.75" hidden="false" customHeight="false" outlineLevel="0" collapsed="false">
      <c r="A37" s="1" t="s">
        <v>488</v>
      </c>
      <c r="B37" s="1" t="n">
        <v>2</v>
      </c>
      <c r="D37" s="1" t="n">
        <v>0.784</v>
      </c>
      <c r="E37" s="1" t="n">
        <v>9</v>
      </c>
      <c r="F37" s="1" t="n">
        <v>1</v>
      </c>
      <c r="G37" s="1" t="n">
        <v>1</v>
      </c>
      <c r="H37" s="1" t="n">
        <v>7</v>
      </c>
      <c r="I37" s="1" t="n">
        <v>5</v>
      </c>
      <c r="J37" s="1" t="n">
        <v>74.1</v>
      </c>
      <c r="K37" s="1" t="n">
        <v>61.5</v>
      </c>
      <c r="L37" s="1" t="n">
        <v>1</v>
      </c>
      <c r="M37" s="1" t="n">
        <v>11.4</v>
      </c>
      <c r="N37" s="1" t="n">
        <v>0.27245509</v>
      </c>
      <c r="O37" s="1" t="n">
        <v>0.302</v>
      </c>
      <c r="P37" s="1" t="n">
        <v>0.696</v>
      </c>
      <c r="Q37" s="1" t="n">
        <v>18</v>
      </c>
      <c r="R37" s="1" t="n">
        <v>19.2</v>
      </c>
      <c r="S37" s="1" t="n">
        <v>0.4</v>
      </c>
    </row>
    <row r="38" customFormat="false" ht="12.75" hidden="false" customHeight="false" outlineLevel="0" collapsed="false">
      <c r="A38" s="1" t="s">
        <v>489</v>
      </c>
      <c r="B38" s="1" t="n">
        <v>0</v>
      </c>
      <c r="D38" s="1" t="n">
        <v>0.667</v>
      </c>
      <c r="E38" s="1" t="n">
        <v>6</v>
      </c>
      <c r="F38" s="1" t="n">
        <v>0</v>
      </c>
      <c r="G38" s="1" t="n">
        <v>1</v>
      </c>
      <c r="H38" s="1" t="n">
        <v>6</v>
      </c>
      <c r="I38" s="1" t="n">
        <v>6</v>
      </c>
      <c r="J38" s="1" t="n">
        <v>73.8</v>
      </c>
      <c r="K38" s="1" t="n">
        <v>68</v>
      </c>
      <c r="L38" s="1" t="n">
        <v>1</v>
      </c>
      <c r="M38" s="1" t="n">
        <v>12.7</v>
      </c>
      <c r="N38" s="1" t="n">
        <v>0.278873239</v>
      </c>
      <c r="O38" s="1" t="n">
        <v>0.337</v>
      </c>
      <c r="P38" s="1" t="n">
        <v>0.714</v>
      </c>
      <c r="Q38" s="1" t="n">
        <v>14</v>
      </c>
      <c r="R38" s="1" t="n">
        <v>8.5</v>
      </c>
      <c r="S38" s="1" t="n">
        <v>0.5</v>
      </c>
    </row>
    <row r="39" customFormat="false" ht="12.75" hidden="false" customHeight="false" outlineLevel="0" collapsed="false">
      <c r="A39" s="1" t="s">
        <v>463</v>
      </c>
      <c r="B39" s="1" t="n">
        <v>1</v>
      </c>
      <c r="D39" s="1" t="n">
        <v>0.75</v>
      </c>
      <c r="E39" s="1" t="n">
        <v>8</v>
      </c>
      <c r="F39" s="1" t="n">
        <v>1</v>
      </c>
      <c r="G39" s="1" t="n">
        <v>0</v>
      </c>
      <c r="H39" s="1" t="n">
        <v>1</v>
      </c>
      <c r="I39" s="1" t="n">
        <v>2</v>
      </c>
      <c r="J39" s="1" t="n">
        <v>67.1</v>
      </c>
      <c r="K39" s="1" t="n">
        <v>57.5</v>
      </c>
      <c r="L39" s="1" t="n">
        <v>0</v>
      </c>
      <c r="M39" s="1" t="n">
        <v>12.7</v>
      </c>
      <c r="N39" s="1" t="n">
        <v>0.387596899</v>
      </c>
      <c r="O39" s="1" t="n">
        <v>0.206</v>
      </c>
      <c r="P39" s="1" t="n">
        <v>0.648</v>
      </c>
      <c r="Q39" s="1" t="n">
        <v>19</v>
      </c>
      <c r="R39" s="1" t="n">
        <v>15.2</v>
      </c>
      <c r="S39" s="1" t="n">
        <v>0.857142857</v>
      </c>
    </row>
    <row r="40" customFormat="false" ht="12.75" hidden="false" customHeight="false" outlineLevel="0" collapsed="false">
      <c r="A40" s="1" t="s">
        <v>197</v>
      </c>
      <c r="B40" s="1" t="n">
        <v>1</v>
      </c>
      <c r="D40" s="1" t="n">
        <v>0.735</v>
      </c>
      <c r="E40" s="1" t="n">
        <v>8</v>
      </c>
      <c r="F40" s="1" t="n">
        <v>0</v>
      </c>
      <c r="G40" s="1" t="n">
        <v>1</v>
      </c>
      <c r="H40" s="1" t="n">
        <v>6</v>
      </c>
      <c r="I40" s="1" t="n">
        <v>5</v>
      </c>
      <c r="J40" s="1" t="n">
        <v>68.7</v>
      </c>
      <c r="K40" s="1" t="n">
        <v>61.8</v>
      </c>
      <c r="L40" s="1" t="n">
        <v>3</v>
      </c>
      <c r="M40" s="1" t="n">
        <v>12.4</v>
      </c>
      <c r="N40" s="1" t="n">
        <v>0.328877005</v>
      </c>
      <c r="O40" s="1" t="n">
        <v>0.232</v>
      </c>
      <c r="P40" s="1" t="n">
        <v>0.693</v>
      </c>
      <c r="Q40" s="1" t="n">
        <v>16</v>
      </c>
      <c r="R40" s="1" t="n">
        <v>10.9</v>
      </c>
      <c r="S40" s="1" t="n">
        <v>0.666666667</v>
      </c>
    </row>
    <row r="41" customFormat="false" ht="12.75" hidden="false" customHeight="false" outlineLevel="0" collapsed="false">
      <c r="A41" s="1" t="s">
        <v>69</v>
      </c>
      <c r="B41" s="1" t="n">
        <v>2</v>
      </c>
      <c r="D41" s="1" t="n">
        <v>0.829</v>
      </c>
      <c r="E41" s="1" t="n">
        <v>8</v>
      </c>
      <c r="F41" s="1" t="n">
        <v>0</v>
      </c>
      <c r="G41" s="1" t="n">
        <v>1</v>
      </c>
      <c r="H41" s="1" t="n">
        <v>8</v>
      </c>
      <c r="I41" s="1" t="n">
        <v>4</v>
      </c>
      <c r="J41" s="1" t="n">
        <v>70.5</v>
      </c>
      <c r="K41" s="1" t="n">
        <v>61.3</v>
      </c>
      <c r="L41" s="1" t="n">
        <v>3</v>
      </c>
      <c r="M41" s="1" t="n">
        <v>10.9</v>
      </c>
      <c r="N41" s="1" t="n">
        <v>0.299401198</v>
      </c>
      <c r="O41" s="1" t="n">
        <v>0.227</v>
      </c>
      <c r="P41" s="1" t="n">
        <v>0.723</v>
      </c>
      <c r="Q41" s="1" t="n">
        <v>19</v>
      </c>
      <c r="R41" s="1" t="n">
        <v>13.8</v>
      </c>
      <c r="S41" s="1" t="n">
        <v>0.875</v>
      </c>
    </row>
    <row r="42" customFormat="false" ht="12.75" hidden="false" customHeight="false" outlineLevel="0" collapsed="false">
      <c r="A42" s="1" t="s">
        <v>465</v>
      </c>
      <c r="B42" s="1" t="n">
        <v>0</v>
      </c>
      <c r="D42" s="1" t="n">
        <v>0.743</v>
      </c>
      <c r="E42" s="1" t="n">
        <v>8</v>
      </c>
      <c r="F42" s="1" t="n">
        <v>0</v>
      </c>
      <c r="G42" s="1" t="n">
        <v>0</v>
      </c>
      <c r="H42" s="1" t="n">
        <v>6</v>
      </c>
      <c r="I42" s="1" t="n">
        <v>3</v>
      </c>
      <c r="J42" s="1" t="n">
        <v>69.3</v>
      </c>
      <c r="K42" s="1" t="n">
        <v>62.7</v>
      </c>
      <c r="L42" s="1" t="n">
        <v>0</v>
      </c>
      <c r="M42" s="1" t="n">
        <v>11.2</v>
      </c>
      <c r="N42" s="1" t="n">
        <v>0.273846154</v>
      </c>
      <c r="O42" s="1" t="n">
        <v>0.309</v>
      </c>
      <c r="P42" s="1" t="n">
        <v>0.7</v>
      </c>
      <c r="Q42" s="1" t="n">
        <v>21</v>
      </c>
      <c r="R42" s="1" t="n">
        <v>9.9</v>
      </c>
      <c r="S42" s="1" t="n">
        <v>0.785714286</v>
      </c>
    </row>
    <row r="43" customFormat="false" ht="12.75" hidden="false" customHeight="false" outlineLevel="0" collapsed="false">
      <c r="A43" s="1" t="s">
        <v>259</v>
      </c>
      <c r="B43" s="1" t="n">
        <v>0</v>
      </c>
      <c r="D43" s="1" t="n">
        <v>0.657</v>
      </c>
      <c r="E43" s="1" t="n">
        <v>7</v>
      </c>
      <c r="F43" s="1" t="n">
        <v>1</v>
      </c>
      <c r="G43" s="1" t="n">
        <v>0</v>
      </c>
      <c r="H43" s="1" t="n">
        <v>2</v>
      </c>
      <c r="I43" s="1" t="n">
        <v>2</v>
      </c>
      <c r="J43" s="1" t="n">
        <v>68.5</v>
      </c>
      <c r="K43" s="1" t="n">
        <v>65.9</v>
      </c>
      <c r="L43" s="1" t="n">
        <v>1</v>
      </c>
      <c r="M43" s="1" t="n">
        <v>14.9</v>
      </c>
      <c r="N43" s="1" t="n">
        <v>0.336182336</v>
      </c>
      <c r="O43" s="1" t="n">
        <v>0.246</v>
      </c>
      <c r="P43" s="1" t="n">
        <v>0.666</v>
      </c>
      <c r="Q43" s="1" t="n">
        <v>13</v>
      </c>
      <c r="R43" s="1" t="n">
        <v>3.9</v>
      </c>
      <c r="S43" s="1" t="n">
        <v>0.6</v>
      </c>
    </row>
    <row r="44" customFormat="false" ht="12.75" hidden="false" customHeight="false" outlineLevel="0" collapsed="false">
      <c r="A44" s="1" t="s">
        <v>490</v>
      </c>
      <c r="B44" s="1" t="n">
        <v>2</v>
      </c>
      <c r="D44" s="1" t="n">
        <v>0.824</v>
      </c>
      <c r="E44" s="1" t="n">
        <v>8</v>
      </c>
      <c r="F44" s="1" t="n">
        <v>1</v>
      </c>
      <c r="G44" s="1" t="n">
        <v>0</v>
      </c>
      <c r="H44" s="1" t="n">
        <v>5</v>
      </c>
      <c r="I44" s="1" t="n">
        <v>3</v>
      </c>
      <c r="J44" s="1" t="n">
        <v>78.5</v>
      </c>
      <c r="K44" s="1" t="n">
        <v>66.4</v>
      </c>
      <c r="L44" s="1" t="n">
        <v>0</v>
      </c>
      <c r="M44" s="1" t="n">
        <v>11.6</v>
      </c>
      <c r="N44" s="1" t="n">
        <v>0.297814208</v>
      </c>
      <c r="O44" s="1" t="n">
        <v>0.319</v>
      </c>
      <c r="P44" s="1" t="n">
        <v>0.761</v>
      </c>
      <c r="Q44" s="1" t="n">
        <v>18</v>
      </c>
      <c r="R44" s="1" t="n">
        <v>17.9</v>
      </c>
      <c r="S44" s="1" t="n">
        <v>0.6</v>
      </c>
    </row>
    <row r="45" customFormat="false" ht="12.75" hidden="false" customHeight="false" outlineLevel="0" collapsed="false">
      <c r="A45" s="1" t="s">
        <v>491</v>
      </c>
      <c r="B45" s="1" t="n">
        <v>0</v>
      </c>
      <c r="D45" s="1" t="n">
        <v>0.758</v>
      </c>
      <c r="E45" s="1" t="n">
        <v>8</v>
      </c>
      <c r="F45" s="1" t="n">
        <v>1</v>
      </c>
      <c r="G45" s="1" t="n">
        <v>0</v>
      </c>
      <c r="H45" s="1" t="n">
        <v>0</v>
      </c>
      <c r="I45" s="1" t="n">
        <v>1</v>
      </c>
      <c r="J45" s="1" t="n">
        <v>79.3</v>
      </c>
      <c r="K45" s="1" t="n">
        <v>69.2</v>
      </c>
      <c r="L45" s="1" t="n">
        <v>0</v>
      </c>
      <c r="M45" s="1" t="n">
        <v>13.4</v>
      </c>
      <c r="N45" s="1" t="n">
        <v>0.328042328</v>
      </c>
      <c r="O45" s="1" t="n">
        <v>0.329</v>
      </c>
      <c r="P45" s="1" t="n">
        <v>0.703</v>
      </c>
      <c r="Q45" s="1" t="n">
        <v>14</v>
      </c>
      <c r="R45" s="1" t="n">
        <v>14</v>
      </c>
      <c r="S45" s="1" t="n">
        <v>0.625</v>
      </c>
    </row>
    <row r="46" customFormat="false" ht="12.75" hidden="false" customHeight="false" outlineLevel="0" collapsed="false">
      <c r="A46" s="1" t="s">
        <v>492</v>
      </c>
      <c r="B46" s="1" t="n">
        <v>0</v>
      </c>
      <c r="D46" s="1" t="n">
        <v>0.735</v>
      </c>
      <c r="E46" s="1" t="n">
        <v>9</v>
      </c>
      <c r="F46" s="1" t="n">
        <v>1</v>
      </c>
      <c r="G46" s="1" t="n">
        <v>0</v>
      </c>
      <c r="H46" s="1" t="n">
        <v>5</v>
      </c>
      <c r="I46" s="1" t="n">
        <v>5</v>
      </c>
      <c r="J46" s="1" t="n">
        <v>70.3</v>
      </c>
      <c r="K46" s="1" t="n">
        <v>61.8</v>
      </c>
      <c r="L46" s="1" t="n">
        <v>0</v>
      </c>
      <c r="M46" s="1" t="n">
        <v>13.3</v>
      </c>
      <c r="N46" s="1" t="n">
        <v>0.354054054</v>
      </c>
      <c r="O46" s="1" t="n">
        <v>0.225</v>
      </c>
      <c r="P46" s="1" t="n">
        <v>0.621</v>
      </c>
      <c r="Q46" s="1" t="n">
        <v>14</v>
      </c>
      <c r="R46" s="1" t="n">
        <v>13.1</v>
      </c>
      <c r="S46" s="1" t="n">
        <v>0.222222222</v>
      </c>
    </row>
    <row r="47" customFormat="false" ht="12.75" hidden="false" customHeight="false" outlineLevel="0" collapsed="false">
      <c r="A47" s="1" t="s">
        <v>493</v>
      </c>
      <c r="B47" s="1" t="n">
        <v>0</v>
      </c>
      <c r="D47" s="1" t="n">
        <v>0.794</v>
      </c>
      <c r="E47" s="1" t="n">
        <v>8</v>
      </c>
      <c r="F47" s="1" t="n">
        <v>1</v>
      </c>
      <c r="G47" s="1" t="n">
        <v>0</v>
      </c>
      <c r="H47" s="1" t="n">
        <v>0</v>
      </c>
      <c r="I47" s="1" t="n">
        <v>4</v>
      </c>
      <c r="J47" s="1" t="n">
        <v>75.1</v>
      </c>
      <c r="K47" s="1" t="n">
        <v>65.5</v>
      </c>
      <c r="L47" s="1" t="n">
        <v>2</v>
      </c>
      <c r="M47" s="1" t="n">
        <v>12.3</v>
      </c>
      <c r="N47" s="1" t="n">
        <v>0.337662338</v>
      </c>
      <c r="O47" s="1" t="n">
        <v>0.188</v>
      </c>
      <c r="P47" s="1" t="n">
        <v>0.673</v>
      </c>
      <c r="Q47" s="1" t="n">
        <v>20</v>
      </c>
      <c r="R47" s="1" t="n">
        <v>13.7</v>
      </c>
      <c r="S47" s="1" t="n">
        <v>0.666666667</v>
      </c>
    </row>
    <row r="48" customFormat="false" ht="12.75" hidden="false" customHeight="false" outlineLevel="0" collapsed="false">
      <c r="A48" s="1" t="s">
        <v>81</v>
      </c>
      <c r="B48" s="1" t="n">
        <v>2</v>
      </c>
      <c r="D48" s="1" t="n">
        <v>0.857</v>
      </c>
      <c r="E48" s="1" t="n">
        <v>7</v>
      </c>
      <c r="F48" s="1" t="n">
        <v>0</v>
      </c>
      <c r="G48" s="1" t="n">
        <v>1</v>
      </c>
      <c r="H48" s="1" t="n">
        <v>10</v>
      </c>
      <c r="I48" s="1" t="n">
        <v>4</v>
      </c>
      <c r="J48" s="1" t="n">
        <v>80.9</v>
      </c>
      <c r="K48" s="1" t="n">
        <v>66.4</v>
      </c>
      <c r="L48" s="1" t="n">
        <v>1</v>
      </c>
      <c r="M48" s="1" t="n">
        <v>15.2</v>
      </c>
      <c r="N48" s="1" t="n">
        <v>0.311518325</v>
      </c>
      <c r="O48" s="1" t="n">
        <v>0.258</v>
      </c>
      <c r="P48" s="1" t="n">
        <v>0.677</v>
      </c>
      <c r="Q48" s="1" t="n">
        <v>18</v>
      </c>
      <c r="R48" s="1" t="n">
        <v>20.4</v>
      </c>
      <c r="S48" s="1" t="n">
        <v>0.833333333</v>
      </c>
    </row>
    <row r="49" customFormat="false" ht="12.75" hidden="false" customHeight="false" outlineLevel="0" collapsed="false">
      <c r="A49" s="1" t="s">
        <v>202</v>
      </c>
      <c r="B49" s="1" t="n">
        <v>0</v>
      </c>
      <c r="D49" s="1" t="n">
        <v>0.829</v>
      </c>
      <c r="E49" s="1" t="n">
        <v>10</v>
      </c>
      <c r="F49" s="1" t="n">
        <v>1</v>
      </c>
      <c r="G49" s="1" t="n">
        <v>0</v>
      </c>
      <c r="H49" s="1" t="n">
        <v>3</v>
      </c>
      <c r="I49" s="1" t="n">
        <v>3</v>
      </c>
      <c r="J49" s="1" t="n">
        <v>64.9</v>
      </c>
      <c r="K49" s="1" t="n">
        <v>56.8</v>
      </c>
      <c r="L49" s="1" t="n">
        <v>2</v>
      </c>
      <c r="M49" s="1" t="n">
        <v>10.5</v>
      </c>
      <c r="N49" s="1" t="n">
        <v>0.297814208</v>
      </c>
      <c r="O49" s="1" t="n">
        <v>0.269</v>
      </c>
      <c r="P49" s="1" t="n">
        <v>0.689</v>
      </c>
      <c r="Q49" s="1" t="n">
        <v>16</v>
      </c>
      <c r="R49" s="1" t="n">
        <v>13.1</v>
      </c>
      <c r="S49" s="1" t="n">
        <v>0.833333333</v>
      </c>
    </row>
    <row r="50" customFormat="false" ht="12.75" hidden="false" customHeight="false" outlineLevel="0" collapsed="false">
      <c r="A50" s="1" t="s">
        <v>336</v>
      </c>
      <c r="B50" s="1" t="n">
        <v>3</v>
      </c>
      <c r="D50" s="1" t="n">
        <v>0.757</v>
      </c>
      <c r="E50" s="1" t="n">
        <v>7</v>
      </c>
      <c r="F50" s="1" t="n">
        <v>0</v>
      </c>
      <c r="G50" s="1" t="n">
        <v>1</v>
      </c>
      <c r="H50" s="1" t="n">
        <v>4</v>
      </c>
      <c r="I50" s="1" t="n">
        <v>6</v>
      </c>
      <c r="J50" s="1" t="n">
        <v>73.5</v>
      </c>
      <c r="K50" s="1" t="n">
        <v>65.2</v>
      </c>
      <c r="L50" s="1" t="n">
        <v>3</v>
      </c>
      <c r="M50" s="1" t="n">
        <v>13.2</v>
      </c>
      <c r="N50" s="1" t="n">
        <v>0.325136612</v>
      </c>
      <c r="O50" s="1" t="n">
        <v>0.24</v>
      </c>
      <c r="P50" s="1" t="n">
        <v>0.671</v>
      </c>
      <c r="Q50" s="1" t="n">
        <v>11</v>
      </c>
      <c r="R50" s="1" t="n">
        <v>11.9</v>
      </c>
      <c r="S50" s="1" t="n">
        <v>0.75</v>
      </c>
    </row>
    <row r="51" customFormat="false" ht="12.75" hidden="false" customHeight="false" outlineLevel="0" collapsed="false">
      <c r="A51" s="1" t="s">
        <v>33</v>
      </c>
      <c r="B51" s="1" t="n">
        <v>0</v>
      </c>
      <c r="D51" s="1" t="n">
        <v>0.706</v>
      </c>
      <c r="E51" s="1" t="n">
        <v>5</v>
      </c>
      <c r="F51" s="1" t="n">
        <v>0</v>
      </c>
      <c r="G51" s="1" t="n">
        <v>1</v>
      </c>
      <c r="H51" s="1" t="n">
        <v>5</v>
      </c>
      <c r="I51" s="1" t="n">
        <v>7</v>
      </c>
      <c r="J51" s="1" t="n">
        <v>81.2</v>
      </c>
      <c r="K51" s="1" t="n">
        <v>70</v>
      </c>
      <c r="L51" s="1" t="n">
        <v>3</v>
      </c>
      <c r="M51" s="1" t="n">
        <v>13.6</v>
      </c>
      <c r="N51" s="1" t="n">
        <v>0.353221957</v>
      </c>
      <c r="O51" s="1" t="n">
        <v>0.212</v>
      </c>
      <c r="P51" s="1" t="n">
        <v>0.633</v>
      </c>
      <c r="Q51" s="1" t="n">
        <v>13</v>
      </c>
      <c r="R51" s="1" t="n">
        <v>15</v>
      </c>
      <c r="S51" s="1" t="n">
        <v>0.4</v>
      </c>
    </row>
    <row r="52" customFormat="false" ht="12.75" hidden="false" customHeight="false" outlineLevel="0" collapsed="false">
      <c r="A52" s="1" t="s">
        <v>49</v>
      </c>
      <c r="B52" s="1" t="n">
        <v>1</v>
      </c>
      <c r="D52" s="1" t="n">
        <v>0.706</v>
      </c>
      <c r="E52" s="1" t="n">
        <v>7</v>
      </c>
      <c r="F52" s="1" t="n">
        <v>0</v>
      </c>
      <c r="G52" s="1" t="n">
        <v>1</v>
      </c>
      <c r="H52" s="1" t="n">
        <v>7</v>
      </c>
      <c r="I52" s="1" t="n">
        <v>9</v>
      </c>
      <c r="J52" s="1" t="n">
        <v>71.4</v>
      </c>
      <c r="K52" s="1" t="n">
        <v>64.5</v>
      </c>
      <c r="L52" s="1" t="n">
        <v>3</v>
      </c>
      <c r="M52" s="1" t="n">
        <v>12.3</v>
      </c>
      <c r="N52" s="1" t="n">
        <v>0.320652174</v>
      </c>
      <c r="O52" s="1" t="n">
        <v>0.26</v>
      </c>
      <c r="P52" s="1" t="n">
        <v>0.661</v>
      </c>
      <c r="Q52" s="1" t="n">
        <v>19</v>
      </c>
      <c r="R52" s="1" t="n">
        <v>10.2</v>
      </c>
      <c r="S52" s="1" t="n">
        <v>0.545454545</v>
      </c>
    </row>
    <row r="53" customFormat="false" ht="12.75" hidden="false" customHeight="false" outlineLevel="0" collapsed="false">
      <c r="A53" s="1" t="s">
        <v>494</v>
      </c>
      <c r="B53" s="1" t="n">
        <v>0</v>
      </c>
      <c r="D53" s="1" t="n">
        <v>0.667</v>
      </c>
      <c r="E53" s="1" t="n">
        <v>9</v>
      </c>
      <c r="F53" s="1" t="n">
        <v>1</v>
      </c>
      <c r="G53" s="1" t="n">
        <v>0</v>
      </c>
      <c r="H53" s="1" t="n">
        <v>0</v>
      </c>
      <c r="I53" s="1" t="n">
        <v>2</v>
      </c>
      <c r="J53" s="1" t="n">
        <v>67.6</v>
      </c>
      <c r="K53" s="1" t="n">
        <v>65.7</v>
      </c>
      <c r="L53" s="1" t="n">
        <v>0</v>
      </c>
      <c r="M53" s="1" t="n">
        <v>15.3</v>
      </c>
      <c r="N53" s="1" t="n">
        <v>0.271341463</v>
      </c>
      <c r="O53" s="1" t="n">
        <v>0.303</v>
      </c>
      <c r="P53" s="1" t="n">
        <v>0.681</v>
      </c>
      <c r="Q53" s="1" t="n">
        <v>15</v>
      </c>
      <c r="R53" s="1" t="n">
        <v>2.7</v>
      </c>
      <c r="S53" s="1" t="n">
        <f aca="false">5/6</f>
        <v>0.8333333333</v>
      </c>
    </row>
    <row r="54" customFormat="false" ht="12.75" hidden="false" customHeight="false" outlineLevel="0" collapsed="false">
      <c r="A54" s="1" t="s">
        <v>378</v>
      </c>
      <c r="B54" s="1" t="n">
        <v>0</v>
      </c>
      <c r="D54" s="1" t="n">
        <v>0.735</v>
      </c>
      <c r="E54" s="1" t="n">
        <v>6</v>
      </c>
      <c r="F54" s="1" t="n">
        <v>0</v>
      </c>
      <c r="G54" s="1" t="n">
        <v>0</v>
      </c>
      <c r="H54" s="1" t="n">
        <v>4</v>
      </c>
      <c r="I54" s="1" t="n">
        <v>4</v>
      </c>
      <c r="J54" s="1" t="n">
        <v>73.1</v>
      </c>
      <c r="K54" s="1" t="n">
        <v>63.8</v>
      </c>
      <c r="L54" s="1" t="n">
        <v>1</v>
      </c>
      <c r="M54" s="1" t="n">
        <v>11.6</v>
      </c>
      <c r="N54" s="1" t="n">
        <v>0.292899408</v>
      </c>
      <c r="O54" s="1" t="n">
        <v>0.279</v>
      </c>
      <c r="P54" s="1" t="n">
        <v>0.716</v>
      </c>
      <c r="Q54" s="1" t="n">
        <v>14</v>
      </c>
      <c r="R54" s="1" t="n">
        <v>13.7</v>
      </c>
      <c r="S54" s="1" t="n">
        <f aca="false">1/2</f>
        <v>0.5</v>
      </c>
    </row>
    <row r="55" customFormat="false" ht="12.75" hidden="false" customHeight="false" outlineLevel="0" collapsed="false">
      <c r="A55" s="1" t="s">
        <v>495</v>
      </c>
      <c r="B55" s="1" t="n">
        <v>0</v>
      </c>
      <c r="D55" s="1" t="n">
        <v>0.771</v>
      </c>
      <c r="E55" s="1" t="n">
        <v>9</v>
      </c>
      <c r="F55" s="1" t="n">
        <v>0</v>
      </c>
      <c r="G55" s="1" t="n">
        <v>0</v>
      </c>
      <c r="H55" s="1" t="n">
        <v>1</v>
      </c>
      <c r="I55" s="1" t="n">
        <v>2</v>
      </c>
      <c r="J55" s="1" t="n">
        <v>73.1</v>
      </c>
      <c r="K55" s="1" t="n">
        <v>59.9</v>
      </c>
      <c r="L55" s="1" t="n">
        <v>1</v>
      </c>
      <c r="M55" s="1" t="n">
        <v>10.2</v>
      </c>
      <c r="N55" s="1" t="n">
        <v>0.290960452</v>
      </c>
      <c r="O55" s="1" t="n">
        <v>0.095</v>
      </c>
      <c r="P55" s="1" t="n">
        <v>0.758</v>
      </c>
      <c r="Q55" s="1" t="n">
        <v>13</v>
      </c>
      <c r="R55" s="1" t="n">
        <v>21.1</v>
      </c>
      <c r="S55" s="1" t="n">
        <v>0.2</v>
      </c>
    </row>
    <row r="56" customFormat="false" ht="12.75" hidden="false" customHeight="false" outlineLevel="0" collapsed="false">
      <c r="A56" s="1" t="s">
        <v>496</v>
      </c>
      <c r="B56" s="1" t="n">
        <v>0</v>
      </c>
      <c r="D56" s="1" t="n">
        <v>0.788</v>
      </c>
      <c r="E56" s="1" t="n">
        <v>9</v>
      </c>
      <c r="F56" s="1" t="n">
        <v>0</v>
      </c>
      <c r="G56" s="1" t="n">
        <v>0</v>
      </c>
      <c r="H56" s="1" t="n">
        <v>3</v>
      </c>
      <c r="I56" s="1" t="n">
        <v>4</v>
      </c>
      <c r="J56" s="1" t="n">
        <v>75.3</v>
      </c>
      <c r="K56" s="1" t="n">
        <v>64.6</v>
      </c>
      <c r="L56" s="1" t="n">
        <v>0</v>
      </c>
      <c r="M56" s="1" t="n">
        <v>13.2</v>
      </c>
      <c r="N56" s="1" t="n">
        <v>0.270718232</v>
      </c>
      <c r="O56" s="1" t="n">
        <v>0.081</v>
      </c>
      <c r="P56" s="1" t="n">
        <v>0.673</v>
      </c>
      <c r="Q56" s="1" t="n">
        <v>16</v>
      </c>
      <c r="R56" s="1" t="n">
        <v>15.1</v>
      </c>
      <c r="S56" s="1" t="n">
        <f aca="false">1/5</f>
        <v>0.2</v>
      </c>
    </row>
    <row r="57" customFormat="false" ht="12.75" hidden="false" customHeight="false" outlineLevel="0" collapsed="false">
      <c r="A57" s="1" t="s">
        <v>133</v>
      </c>
      <c r="B57" s="1" t="n">
        <v>0</v>
      </c>
      <c r="D57" s="1" t="n">
        <v>0.727</v>
      </c>
      <c r="E57" s="1" t="n">
        <v>7</v>
      </c>
      <c r="F57" s="1" t="n">
        <v>0</v>
      </c>
      <c r="G57" s="1" t="n">
        <v>1</v>
      </c>
      <c r="H57" s="1" t="n">
        <v>6</v>
      </c>
      <c r="I57" s="1" t="n">
        <v>2</v>
      </c>
      <c r="J57" s="1" t="n">
        <v>76.9</v>
      </c>
      <c r="K57" s="1" t="n">
        <v>68.9</v>
      </c>
      <c r="L57" s="1" t="n">
        <v>1</v>
      </c>
      <c r="M57" s="1" t="n">
        <v>13.6</v>
      </c>
      <c r="N57" s="1" t="n">
        <v>0.300275482</v>
      </c>
      <c r="O57" s="1" t="n">
        <v>0.08</v>
      </c>
      <c r="P57" s="1" t="n">
        <v>0.721</v>
      </c>
      <c r="Q57" s="1" t="n">
        <v>15</v>
      </c>
      <c r="R57" s="1" t="n">
        <v>11.3</v>
      </c>
      <c r="S57" s="1" t="n">
        <f aca="false">2/3</f>
        <v>0.6666666667</v>
      </c>
    </row>
    <row r="58" customFormat="false" ht="12.75" hidden="false" customHeight="false" outlineLevel="0" collapsed="false">
      <c r="A58" s="1" t="s">
        <v>134</v>
      </c>
      <c r="B58" s="1" t="n">
        <v>0</v>
      </c>
      <c r="D58" s="1" t="n">
        <v>0.714</v>
      </c>
      <c r="E58" s="1" t="n">
        <v>9</v>
      </c>
      <c r="F58" s="1" t="n">
        <v>1</v>
      </c>
      <c r="G58" s="1" t="n">
        <v>0</v>
      </c>
      <c r="H58" s="1" t="n">
        <v>0</v>
      </c>
      <c r="I58" s="1" t="n">
        <v>1</v>
      </c>
      <c r="J58" s="1" t="n">
        <v>70.2</v>
      </c>
      <c r="K58" s="1" t="n">
        <v>64.8</v>
      </c>
      <c r="L58" s="1" t="n">
        <v>0</v>
      </c>
      <c r="M58" s="1" t="n">
        <v>13.9</v>
      </c>
      <c r="N58" s="1" t="n">
        <v>0.33604336</v>
      </c>
      <c r="O58" s="1" t="n">
        <v>0.209</v>
      </c>
      <c r="P58" s="1" t="n">
        <v>0.687</v>
      </c>
      <c r="Q58" s="1" t="n">
        <v>20</v>
      </c>
      <c r="R58" s="1" t="n">
        <v>8</v>
      </c>
      <c r="S58" s="1" t="n">
        <f aca="false">5/7</f>
        <v>0.7142857143</v>
      </c>
    </row>
    <row r="59" customFormat="false" ht="12.75" hidden="false" customHeight="false" outlineLevel="0" collapsed="false">
      <c r="A59" s="1" t="s">
        <v>135</v>
      </c>
      <c r="B59" s="1" t="n">
        <v>1</v>
      </c>
      <c r="D59" s="1" t="n">
        <v>0.758</v>
      </c>
      <c r="E59" s="1" t="n">
        <v>4</v>
      </c>
      <c r="F59" s="1" t="n">
        <v>0</v>
      </c>
      <c r="G59" s="1" t="n">
        <v>1</v>
      </c>
      <c r="H59" s="1" t="n">
        <v>7</v>
      </c>
      <c r="I59" s="1" t="n">
        <v>6</v>
      </c>
      <c r="J59" s="1" t="n">
        <v>81.8</v>
      </c>
      <c r="K59" s="1" t="n">
        <v>72.8</v>
      </c>
      <c r="L59" s="1" t="n">
        <v>3</v>
      </c>
      <c r="M59" s="1" t="n">
        <v>13.7</v>
      </c>
      <c r="N59" s="1" t="n">
        <v>0.348051948</v>
      </c>
      <c r="O59" s="1" t="n">
        <v>0.093</v>
      </c>
      <c r="P59" s="1" t="n">
        <v>0.755</v>
      </c>
      <c r="Q59" s="1" t="n">
        <v>19</v>
      </c>
      <c r="R59" s="1" t="n">
        <v>12.4</v>
      </c>
      <c r="S59" s="1" t="n">
        <f aca="false">2/3</f>
        <v>0.666666666666667</v>
      </c>
    </row>
    <row r="60" customFormat="false" ht="12.75" hidden="false" customHeight="false" outlineLevel="0" collapsed="false">
      <c r="A60" s="1" t="s">
        <v>136</v>
      </c>
      <c r="B60" s="1" t="n">
        <v>0</v>
      </c>
      <c r="D60" s="1" t="n">
        <v>0.645</v>
      </c>
      <c r="E60" s="1" t="n">
        <v>5</v>
      </c>
      <c r="F60" s="1" t="n">
        <v>0</v>
      </c>
      <c r="G60" s="1" t="n">
        <v>1</v>
      </c>
      <c r="H60" s="1" t="n">
        <v>5</v>
      </c>
      <c r="I60" s="1" t="n">
        <v>4</v>
      </c>
      <c r="J60" s="1" t="n">
        <v>73.5</v>
      </c>
      <c r="K60" s="1" t="n">
        <v>69.5</v>
      </c>
      <c r="L60" s="1" t="n">
        <v>1</v>
      </c>
      <c r="M60" s="1" t="n">
        <v>15.2</v>
      </c>
      <c r="N60" s="1" t="n">
        <v>0.35391924</v>
      </c>
      <c r="O60" s="1" t="n">
        <v>0.059</v>
      </c>
      <c r="P60" s="1" t="n">
        <v>0.657</v>
      </c>
      <c r="Q60" s="1" t="n">
        <v>16</v>
      </c>
      <c r="R60" s="1" t="n">
        <v>7.6</v>
      </c>
      <c r="S60" s="1" t="n">
        <f aca="false">2/3</f>
        <v>0.666666666666667</v>
      </c>
    </row>
    <row r="61" customFormat="false" ht="12.75" hidden="false" customHeight="false" outlineLevel="0" collapsed="false">
      <c r="A61" s="1" t="s">
        <v>472</v>
      </c>
      <c r="B61" s="1" t="n">
        <v>2</v>
      </c>
      <c r="D61" s="1" t="n">
        <v>0.722</v>
      </c>
      <c r="E61" s="1" t="n">
        <v>8</v>
      </c>
      <c r="F61" s="1" t="n">
        <v>1</v>
      </c>
      <c r="G61" s="1" t="n">
        <v>1</v>
      </c>
      <c r="H61" s="1" t="n">
        <v>4</v>
      </c>
      <c r="I61" s="1" t="n">
        <v>2</v>
      </c>
      <c r="J61" s="1" t="n">
        <v>79.2</v>
      </c>
      <c r="K61" s="1" t="n">
        <v>70</v>
      </c>
      <c r="L61" s="1" t="n">
        <v>1</v>
      </c>
      <c r="M61" s="1" t="n">
        <v>12.8</v>
      </c>
      <c r="N61" s="1" t="n">
        <v>0.34828496</v>
      </c>
      <c r="O61" s="1" t="n">
        <v>0.067</v>
      </c>
      <c r="P61" s="1" t="n">
        <v>0.72</v>
      </c>
      <c r="Q61" s="1" t="n">
        <v>16</v>
      </c>
      <c r="R61" s="1" t="n">
        <v>12.6</v>
      </c>
      <c r="S61" s="1" t="n">
        <f aca="false">4/6</f>
        <v>0.6666666667</v>
      </c>
    </row>
    <row r="62" customFormat="false" ht="12.75" hidden="false" customHeight="false" outlineLevel="0" collapsed="false">
      <c r="A62" s="1" t="s">
        <v>58</v>
      </c>
      <c r="B62" s="1" t="n">
        <v>4</v>
      </c>
      <c r="D62" s="1" t="n">
        <v>0.816</v>
      </c>
      <c r="E62" s="1" t="n">
        <v>8</v>
      </c>
      <c r="F62" s="1" t="n">
        <v>1</v>
      </c>
      <c r="G62" s="1" t="n">
        <v>1</v>
      </c>
      <c r="H62" s="1" t="n">
        <v>9</v>
      </c>
      <c r="I62" s="1" t="n">
        <v>5</v>
      </c>
      <c r="J62" s="1" t="n">
        <v>72.4</v>
      </c>
      <c r="K62" s="1" t="n">
        <v>63.5</v>
      </c>
      <c r="L62" s="1" t="n">
        <v>2</v>
      </c>
      <c r="M62" s="1" t="n">
        <v>11.9</v>
      </c>
      <c r="N62" s="1" t="n">
        <v>0.398963731</v>
      </c>
      <c r="O62" s="1" t="n">
        <v>0.093</v>
      </c>
      <c r="P62" s="1" t="n">
        <v>0.704</v>
      </c>
      <c r="Q62" s="1" t="n">
        <v>18</v>
      </c>
      <c r="R62" s="1" t="n">
        <v>13.7</v>
      </c>
      <c r="S62" s="1" t="n">
        <f aca="false">7/10</f>
        <v>0.7</v>
      </c>
    </row>
    <row r="63" customFormat="false" ht="12.75" hidden="false" customHeight="false" outlineLevel="0" collapsed="false">
      <c r="A63" s="1" t="s">
        <v>137</v>
      </c>
      <c r="B63" s="1" t="n">
        <v>-1</v>
      </c>
      <c r="D63" s="1" t="n">
        <v>0.576</v>
      </c>
      <c r="E63" s="1" t="n">
        <v>7</v>
      </c>
      <c r="F63" s="1" t="n">
        <v>1</v>
      </c>
      <c r="G63" s="1" t="n">
        <v>0</v>
      </c>
      <c r="H63" s="1" t="n">
        <v>0</v>
      </c>
      <c r="I63" s="1" t="n">
        <v>1</v>
      </c>
      <c r="J63" s="1" t="n">
        <v>61.9</v>
      </c>
      <c r="K63" s="1" t="n">
        <v>61.4</v>
      </c>
      <c r="L63" s="1" t="n">
        <v>1</v>
      </c>
      <c r="M63" s="1" t="n">
        <v>12.1</v>
      </c>
      <c r="N63" s="1" t="n">
        <v>0.351421189</v>
      </c>
      <c r="O63" s="1" t="n">
        <v>0.061</v>
      </c>
      <c r="P63" s="1" t="n">
        <v>0.644</v>
      </c>
      <c r="Q63" s="1" t="n">
        <v>15</v>
      </c>
      <c r="R63" s="1" t="n">
        <v>0.8</v>
      </c>
      <c r="S63" s="1" t="n">
        <v>0.666666667</v>
      </c>
    </row>
    <row r="64" customFormat="false" ht="12.75" hidden="false" customHeight="false" outlineLevel="0" collapsed="false">
      <c r="A64" s="1" t="s">
        <v>138</v>
      </c>
      <c r="B64" s="1" t="n">
        <v>1</v>
      </c>
      <c r="D64" s="1" t="n">
        <v>0.727</v>
      </c>
      <c r="E64" s="1" t="n">
        <v>7</v>
      </c>
      <c r="F64" s="1" t="n">
        <v>0</v>
      </c>
      <c r="G64" s="1" t="n">
        <v>1</v>
      </c>
      <c r="H64" s="1" t="n">
        <v>7</v>
      </c>
      <c r="I64" s="1" t="n">
        <v>5</v>
      </c>
      <c r="J64" s="1" t="n">
        <v>67.1</v>
      </c>
      <c r="K64" s="1" t="n">
        <v>56.9</v>
      </c>
      <c r="L64" s="1" t="n">
        <v>3</v>
      </c>
      <c r="M64" s="1" t="n">
        <v>8.8</v>
      </c>
      <c r="N64" s="1" t="n">
        <v>0.303125</v>
      </c>
      <c r="O64" s="1" t="n">
        <v>0.111</v>
      </c>
      <c r="P64" s="1" t="n">
        <v>0.732</v>
      </c>
      <c r="Q64" s="1" t="n">
        <v>19</v>
      </c>
      <c r="R64" s="1" t="n">
        <v>16.9</v>
      </c>
      <c r="S64" s="1" t="n">
        <v>0.5</v>
      </c>
    </row>
    <row r="65" customFormat="false" ht="12.75" hidden="false" customHeight="false" outlineLevel="0" collapsed="false">
      <c r="A65" s="1" t="s">
        <v>269</v>
      </c>
      <c r="B65" s="1" t="n">
        <v>0</v>
      </c>
      <c r="D65" s="1" t="n">
        <v>0.743</v>
      </c>
      <c r="E65" s="1" t="n">
        <v>10</v>
      </c>
      <c r="F65" s="1" t="n">
        <v>1</v>
      </c>
      <c r="G65" s="1" t="n">
        <v>0</v>
      </c>
      <c r="H65" s="1" t="n">
        <v>0</v>
      </c>
      <c r="I65" s="1" t="n">
        <v>2</v>
      </c>
      <c r="J65" s="1" t="n">
        <v>68.8</v>
      </c>
      <c r="K65" s="1" t="n">
        <v>61</v>
      </c>
      <c r="L65" s="1" t="n">
        <v>0</v>
      </c>
      <c r="M65" s="1" t="n">
        <v>11.9</v>
      </c>
      <c r="N65" s="1" t="n">
        <v>0.323943662</v>
      </c>
      <c r="O65" s="1" t="n">
        <v>0.084</v>
      </c>
      <c r="P65" s="1" t="n">
        <v>0.669</v>
      </c>
      <c r="Q65" s="1" t="n">
        <v>17</v>
      </c>
      <c r="R65" s="1" t="n">
        <v>12</v>
      </c>
      <c r="S65" s="1" t="n">
        <v>0.454545455</v>
      </c>
    </row>
    <row r="66" customFormat="false" ht="12.75" hidden="false" customHeight="false" outlineLevel="0" collapsed="false">
      <c r="A66" s="1" t="s">
        <v>36</v>
      </c>
      <c r="B66" s="1" t="n">
        <v>2</v>
      </c>
      <c r="D66" s="1" t="n">
        <v>0.743</v>
      </c>
      <c r="E66" s="1" t="n">
        <v>8</v>
      </c>
      <c r="F66" s="1" t="n">
        <v>0</v>
      </c>
      <c r="G66" s="1" t="n">
        <v>0</v>
      </c>
      <c r="H66" s="1" t="n">
        <v>2</v>
      </c>
      <c r="I66" s="1" t="n">
        <v>7</v>
      </c>
      <c r="J66" s="1" t="n">
        <v>79.8</v>
      </c>
      <c r="K66" s="1" t="n">
        <v>69.5</v>
      </c>
      <c r="L66" s="1" t="n">
        <v>3</v>
      </c>
      <c r="M66" s="1" t="n">
        <v>12.9</v>
      </c>
      <c r="N66" s="1" t="n">
        <v>0.314356436</v>
      </c>
      <c r="O66" s="1" t="n">
        <v>0.09</v>
      </c>
      <c r="P66" s="1" t="n">
        <v>0.711</v>
      </c>
      <c r="Q66" s="1" t="n">
        <v>15</v>
      </c>
      <c r="R66" s="1" t="n">
        <v>14.3</v>
      </c>
      <c r="S66" s="1" t="n">
        <v>0.538461538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RowHeight="12.75" zeroHeight="false" outlineLevelRow="0" outlineLevelCol="0"/>
  <cols>
    <col collapsed="false" customWidth="true" hidden="false" outlineLevel="0" max="1" min="1" style="0" width="22.7"/>
    <col collapsed="false" customWidth="true" hidden="false" outlineLevel="0" max="16" min="2" style="0" width="17.29"/>
    <col collapsed="false" customWidth="true" hidden="false" outlineLevel="0" max="17" min="17" style="0" width="18.12"/>
    <col collapsed="false" customWidth="true" hidden="false" outlineLevel="0" max="21" min="18" style="0" width="17.29"/>
    <col collapsed="false" customWidth="true" hidden="false" outlineLevel="0" max="1025" min="22" style="0" width="14.43"/>
  </cols>
  <sheetData>
    <row r="1" customFormat="false" ht="12.75" hidden="false" customHeight="false" outlineLevel="0" collapsed="false">
      <c r="A1" s="1" t="s">
        <v>2</v>
      </c>
      <c r="B1" s="1" t="s">
        <v>497</v>
      </c>
      <c r="D1" s="1" t="s">
        <v>473</v>
      </c>
      <c r="E1" s="1" t="s">
        <v>498</v>
      </c>
      <c r="F1" s="1" t="s">
        <v>442</v>
      </c>
      <c r="G1" s="1" t="s">
        <v>443</v>
      </c>
      <c r="H1" s="1" t="s">
        <v>444</v>
      </c>
      <c r="I1" s="1" t="s">
        <v>445</v>
      </c>
      <c r="J1" s="1" t="s">
        <v>474</v>
      </c>
      <c r="K1" s="1" t="s">
        <v>475</v>
      </c>
      <c r="L1" s="1" t="s">
        <v>446</v>
      </c>
      <c r="M1" s="1" t="s">
        <v>447</v>
      </c>
      <c r="N1" s="1" t="s">
        <v>448</v>
      </c>
      <c r="O1" s="1" t="s">
        <v>476</v>
      </c>
      <c r="P1" s="1" t="s">
        <v>16</v>
      </c>
      <c r="Q1" s="1" t="s">
        <v>451</v>
      </c>
      <c r="R1" s="1" t="s">
        <v>499</v>
      </c>
      <c r="S1" s="1" t="s">
        <v>453</v>
      </c>
      <c r="T1" s="1" t="s">
        <v>500</v>
      </c>
      <c r="U1" s="1" t="s">
        <v>501</v>
      </c>
    </row>
    <row r="2" customFormat="false" ht="12.75" hidden="false" customHeight="false" outlineLevel="0" collapsed="false">
      <c r="A2" s="1" t="s">
        <v>361</v>
      </c>
      <c r="B2" s="1" t="n">
        <v>0</v>
      </c>
      <c r="D2" s="1" t="n">
        <v>0.6795</v>
      </c>
      <c r="E2" s="1" t="n">
        <v>7</v>
      </c>
      <c r="G2" s="1" t="n">
        <v>0</v>
      </c>
      <c r="H2" s="1" t="n">
        <v>0</v>
      </c>
      <c r="I2" s="1" t="n">
        <v>3</v>
      </c>
      <c r="J2" s="1" t="n">
        <v>66.3</v>
      </c>
      <c r="K2" s="1" t="n">
        <v>61</v>
      </c>
      <c r="L2" s="1" t="n">
        <v>0</v>
      </c>
      <c r="M2" s="1" t="n">
        <v>13.77</v>
      </c>
      <c r="N2" s="1" t="n">
        <v>0.352088662</v>
      </c>
      <c r="O2" s="1" t="n">
        <v>0.318084652</v>
      </c>
      <c r="P2" s="1" t="n">
        <v>0.708</v>
      </c>
      <c r="Q2" s="1" t="n">
        <v>14</v>
      </c>
      <c r="R2" s="1" t="n">
        <v>9.8</v>
      </c>
      <c r="S2" s="1" t="n">
        <v>0.3</v>
      </c>
      <c r="T2" s="1" t="n">
        <f aca="false">IF(H2+I2=0,0,H2/(I2+H2))</f>
        <v>0</v>
      </c>
      <c r="U2" s="1" t="n">
        <f aca="false">H2+I2</f>
        <v>3</v>
      </c>
    </row>
    <row r="3" customFormat="false" ht="12.75" hidden="false" customHeight="false" outlineLevel="0" collapsed="false">
      <c r="A3" s="1" t="s">
        <v>502</v>
      </c>
      <c r="B3" s="1" t="n">
        <v>0</v>
      </c>
      <c r="D3" s="1" t="n">
        <v>0.7519</v>
      </c>
      <c r="E3" s="1" t="n">
        <v>9</v>
      </c>
      <c r="F3" s="1" t="n">
        <v>1</v>
      </c>
      <c r="G3" s="1" t="n">
        <v>0</v>
      </c>
      <c r="H3" s="1" t="n">
        <v>0</v>
      </c>
      <c r="I3" s="1" t="n">
        <v>1</v>
      </c>
      <c r="J3" s="1" t="n">
        <v>66.8</v>
      </c>
      <c r="K3" s="1" t="n">
        <v>64.8</v>
      </c>
      <c r="L3" s="1" t="n">
        <v>0</v>
      </c>
      <c r="M3" s="1" t="n">
        <v>13.61</v>
      </c>
      <c r="N3" s="1" t="n">
        <v>0.316409791</v>
      </c>
      <c r="O3" s="1" t="n">
        <v>0.248726262</v>
      </c>
      <c r="P3" s="1" t="n">
        <v>0.634</v>
      </c>
      <c r="Q3" s="1" t="n">
        <v>16</v>
      </c>
      <c r="R3" s="1" t="n">
        <v>8.3</v>
      </c>
      <c r="S3" s="1" t="n">
        <f aca="false">4/9</f>
        <v>0.4444444444</v>
      </c>
      <c r="T3" s="1" t="n">
        <f aca="false">IF(H3+I3=0,0,H3/(I3+H3))</f>
        <v>0</v>
      </c>
      <c r="U3" s="1" t="n">
        <f aca="false">H3+I3</f>
        <v>1</v>
      </c>
    </row>
    <row r="4" customFormat="false" ht="12.75" hidden="false" customHeight="false" outlineLevel="0" collapsed="false">
      <c r="A4" s="1" t="s">
        <v>316</v>
      </c>
      <c r="B4" s="1" t="n">
        <v>0</v>
      </c>
      <c r="D4" s="1" t="n">
        <v>0.8227</v>
      </c>
      <c r="E4" s="1" t="n">
        <v>10</v>
      </c>
      <c r="F4" s="1" t="n">
        <v>1</v>
      </c>
      <c r="G4" s="1" t="n">
        <v>0</v>
      </c>
      <c r="H4" s="1" t="n">
        <v>0</v>
      </c>
      <c r="I4" s="1" t="n">
        <v>2</v>
      </c>
      <c r="J4" s="1" t="n">
        <v>64.5</v>
      </c>
      <c r="K4" s="1" t="n">
        <v>59.1</v>
      </c>
      <c r="L4" s="1" t="n">
        <v>1</v>
      </c>
      <c r="M4" s="1" t="n">
        <v>13.23</v>
      </c>
      <c r="N4" s="1" t="n">
        <v>0.288649706</v>
      </c>
      <c r="O4" s="1" t="n">
        <v>0.33033033</v>
      </c>
      <c r="P4" s="1" t="n">
        <v>0.648</v>
      </c>
      <c r="Q4" s="1" t="n">
        <v>20</v>
      </c>
      <c r="R4" s="1" t="n">
        <v>8.7</v>
      </c>
      <c r="S4" s="1" t="n">
        <f aca="false">6/7</f>
        <v>0.8571428571</v>
      </c>
      <c r="T4" s="1" t="n">
        <f aca="false">IF(H4+I4=0,0,H4/(I4+H4))</f>
        <v>0</v>
      </c>
      <c r="U4" s="1" t="n">
        <f aca="false">H4+I4</f>
        <v>2</v>
      </c>
    </row>
    <row r="5" customFormat="false" ht="12.75" hidden="false" customHeight="false" outlineLevel="0" collapsed="false">
      <c r="A5" s="1" t="s">
        <v>26</v>
      </c>
      <c r="B5" s="1" t="n">
        <v>2</v>
      </c>
      <c r="D5" s="1" t="n">
        <v>0.5726</v>
      </c>
      <c r="E5" s="1" t="n">
        <v>5</v>
      </c>
      <c r="F5" s="1" t="n">
        <v>1</v>
      </c>
      <c r="G5" s="1" t="n">
        <v>1</v>
      </c>
      <c r="H5" s="1" t="n">
        <v>5</v>
      </c>
      <c r="I5" s="1" t="n">
        <v>9</v>
      </c>
      <c r="J5" s="1" t="n">
        <v>72.3</v>
      </c>
      <c r="K5" s="1" t="n">
        <v>69.2</v>
      </c>
      <c r="L5" s="1" t="n">
        <v>3</v>
      </c>
      <c r="M5" s="1" t="n">
        <v>12.59</v>
      </c>
      <c r="N5" s="1" t="n">
        <v>0.327490775</v>
      </c>
      <c r="O5" s="1" t="n">
        <v>0.257142857</v>
      </c>
      <c r="P5" s="1" t="n">
        <v>0.738</v>
      </c>
      <c r="Q5" s="1" t="n">
        <v>14</v>
      </c>
      <c r="R5" s="1" t="n">
        <v>-7.1</v>
      </c>
      <c r="S5" s="1" t="n">
        <f aca="false">3/8</f>
        <v>0.375</v>
      </c>
      <c r="T5" s="1" t="n">
        <f aca="false">IF(H5+I5=0,0,H5/(I5+H5))</f>
        <v>0.357142857142857</v>
      </c>
      <c r="U5" s="1" t="n">
        <f aca="false">H5+I5</f>
        <v>14</v>
      </c>
    </row>
    <row r="6" customFormat="false" ht="12.75" hidden="false" customHeight="false" outlineLevel="0" collapsed="false">
      <c r="A6" s="1" t="s">
        <v>80</v>
      </c>
      <c r="B6" s="1" t="n">
        <v>1</v>
      </c>
      <c r="D6" s="1" t="n">
        <v>0.7114</v>
      </c>
      <c r="E6" s="1" t="n">
        <v>6</v>
      </c>
      <c r="F6" s="1" t="n">
        <v>0</v>
      </c>
      <c r="G6" s="1" t="n">
        <v>1</v>
      </c>
      <c r="H6" s="1" t="n">
        <v>9</v>
      </c>
      <c r="I6" s="1" t="n">
        <v>5</v>
      </c>
      <c r="J6" s="1" t="n">
        <v>69.4</v>
      </c>
      <c r="K6" s="1" t="n">
        <v>60.5</v>
      </c>
      <c r="L6" s="1" t="n">
        <v>0</v>
      </c>
      <c r="M6" s="1" t="n">
        <v>11.52</v>
      </c>
      <c r="N6" s="1" t="n">
        <v>0.352404643</v>
      </c>
      <c r="O6" s="1" t="n">
        <v>0.349019608</v>
      </c>
      <c r="P6" s="1" t="n">
        <v>0.737</v>
      </c>
      <c r="Q6" s="1" t="n">
        <v>15</v>
      </c>
      <c r="R6" s="1" t="n">
        <v>14.5</v>
      </c>
      <c r="S6" s="1" t="n">
        <f aca="false">4/7</f>
        <v>0.5714285714</v>
      </c>
      <c r="T6" s="1" t="n">
        <f aca="false">IF(H6+I6=0,0,H6/(I6+H6))</f>
        <v>0.642857142857143</v>
      </c>
      <c r="U6" s="1" t="n">
        <f aca="false">H6+I6</f>
        <v>14</v>
      </c>
    </row>
    <row r="7" customFormat="false" ht="12.75" hidden="false" customHeight="false" outlineLevel="0" collapsed="false">
      <c r="A7" s="1" t="s">
        <v>503</v>
      </c>
      <c r="B7" s="1" t="n">
        <v>0</v>
      </c>
      <c r="D7" s="1" t="n">
        <v>0.7681</v>
      </c>
      <c r="E7" s="1" t="n">
        <v>10</v>
      </c>
      <c r="F7" s="1" t="n">
        <v>0</v>
      </c>
      <c r="G7" s="1" t="n">
        <v>0</v>
      </c>
      <c r="H7" s="1" t="n">
        <v>0</v>
      </c>
      <c r="I7" s="1" t="n">
        <v>0</v>
      </c>
      <c r="J7" s="1" t="n">
        <v>69.8</v>
      </c>
      <c r="K7" s="1" t="n">
        <v>67.8</v>
      </c>
      <c r="L7" s="1" t="n">
        <v>0</v>
      </c>
      <c r="M7" s="1" t="n">
        <v>13.32</v>
      </c>
      <c r="N7" s="1" t="n">
        <v>0.320564516</v>
      </c>
      <c r="O7" s="1" t="n">
        <v>0.254937988</v>
      </c>
      <c r="P7" s="1" t="n">
        <v>0.67</v>
      </c>
      <c r="Q7" s="1" t="n">
        <v>13</v>
      </c>
      <c r="R7" s="1" t="n">
        <v>3.8</v>
      </c>
      <c r="S7" s="1" t="n">
        <f aca="false">7/8</f>
        <v>0.875</v>
      </c>
      <c r="T7" s="1" t="n">
        <f aca="false">IF(H7+I7=0,0,H7/(I7+H7))</f>
        <v>0</v>
      </c>
      <c r="U7" s="1" t="n">
        <f aca="false">H7+I7</f>
        <v>0</v>
      </c>
    </row>
    <row r="8" customFormat="false" ht="12.75" hidden="false" customHeight="false" outlineLevel="0" collapsed="false">
      <c r="A8" s="1" t="s">
        <v>504</v>
      </c>
      <c r="B8" s="1" t="n">
        <v>0</v>
      </c>
      <c r="D8" s="1" t="n">
        <v>0.6294</v>
      </c>
      <c r="E8" s="1" t="n">
        <v>5</v>
      </c>
      <c r="F8" s="1" t="n">
        <v>1</v>
      </c>
      <c r="G8" s="1" t="n">
        <v>1</v>
      </c>
      <c r="H8" s="1" t="n">
        <v>4</v>
      </c>
      <c r="I8" s="1" t="n">
        <v>5</v>
      </c>
      <c r="J8" s="1" t="n">
        <v>74.4</v>
      </c>
      <c r="K8" s="1" t="n">
        <v>71.3</v>
      </c>
      <c r="L8" s="1" t="n">
        <v>2</v>
      </c>
      <c r="M8" s="1" t="n">
        <v>13.39</v>
      </c>
      <c r="N8" s="1" t="n">
        <v>0.384052075</v>
      </c>
      <c r="O8" s="1" t="n">
        <v>0.255964416</v>
      </c>
      <c r="P8" s="1" t="n">
        <v>0.738</v>
      </c>
      <c r="Q8" s="1" t="n">
        <v>13</v>
      </c>
      <c r="R8" s="1" t="n">
        <v>5.7</v>
      </c>
      <c r="S8" s="1" t="n">
        <f aca="false">7/10</f>
        <v>0.7</v>
      </c>
      <c r="T8" s="1" t="n">
        <f aca="false">IF(H8+I8=0,0,H8/(I8+H8))</f>
        <v>0.444444444444444</v>
      </c>
      <c r="U8" s="1" t="n">
        <f aca="false">H8+I8</f>
        <v>9</v>
      </c>
    </row>
    <row r="9" customFormat="false" ht="12.75" hidden="false" customHeight="false" outlineLevel="0" collapsed="false">
      <c r="A9" s="1" t="s">
        <v>68</v>
      </c>
      <c r="B9" s="1" t="n">
        <v>0</v>
      </c>
      <c r="D9" s="1" t="n">
        <v>0.838</v>
      </c>
      <c r="E9" s="1" t="n">
        <v>7</v>
      </c>
      <c r="F9" s="1" t="n">
        <v>0</v>
      </c>
      <c r="G9" s="1" t="n">
        <v>0</v>
      </c>
      <c r="H9" s="1" t="n">
        <v>3</v>
      </c>
      <c r="I9" s="1" t="n">
        <v>2</v>
      </c>
      <c r="J9" s="1" t="n">
        <v>66.9</v>
      </c>
      <c r="K9" s="1" t="n">
        <v>58.9</v>
      </c>
      <c r="L9" s="1" t="n">
        <v>2</v>
      </c>
      <c r="M9" s="1" t="n">
        <v>12.42</v>
      </c>
      <c r="N9" s="1" t="n">
        <v>0.297169811</v>
      </c>
      <c r="O9" s="1" t="n">
        <v>0.356223176</v>
      </c>
      <c r="P9" s="1" t="n">
        <v>0.724</v>
      </c>
      <c r="Q9" s="1" t="n">
        <v>10</v>
      </c>
      <c r="R9" s="1" t="n">
        <v>15.5</v>
      </c>
      <c r="S9" s="1" t="n">
        <f aca="false">4/7</f>
        <v>0.5714285714</v>
      </c>
      <c r="T9" s="1" t="n">
        <f aca="false">IF(H9+I9=0,0,H9/(I9+H9))</f>
        <v>0.6</v>
      </c>
      <c r="U9" s="1" t="n">
        <f aca="false">H9+I9</f>
        <v>5</v>
      </c>
    </row>
    <row r="10" customFormat="false" ht="12.75" hidden="false" customHeight="false" outlineLevel="0" collapsed="false">
      <c r="A10" s="1" t="s">
        <v>242</v>
      </c>
      <c r="B10" s="1" t="n">
        <v>0</v>
      </c>
      <c r="D10" s="1" t="n">
        <v>0.7724</v>
      </c>
      <c r="E10" s="1" t="n">
        <v>8</v>
      </c>
      <c r="F10" s="1" t="n">
        <v>0</v>
      </c>
      <c r="G10" s="1" t="n">
        <v>0</v>
      </c>
      <c r="H10" s="1" t="n">
        <v>2</v>
      </c>
      <c r="I10" s="1" t="n">
        <v>3</v>
      </c>
      <c r="J10" s="1" t="n">
        <v>76.9</v>
      </c>
      <c r="K10" s="1" t="n">
        <v>66</v>
      </c>
      <c r="L10" s="1" t="n">
        <v>2</v>
      </c>
      <c r="M10" s="1" t="n">
        <v>11.41</v>
      </c>
      <c r="N10" s="1" t="n">
        <v>0.252136752</v>
      </c>
      <c r="O10" s="1" t="n">
        <v>0.279661017</v>
      </c>
      <c r="P10" s="1" t="n">
        <v>0.729</v>
      </c>
      <c r="Q10" s="1" t="n">
        <v>13</v>
      </c>
      <c r="R10" s="1" t="n">
        <v>17.2</v>
      </c>
      <c r="S10" s="1" t="n">
        <f aca="false">2/5</f>
        <v>0.4</v>
      </c>
      <c r="T10" s="1" t="n">
        <f aca="false">IF(H10+I10=0,0,H10/(I10+H10))</f>
        <v>0.4</v>
      </c>
      <c r="U10" s="1" t="n">
        <f aca="false">H10+I10</f>
        <v>5</v>
      </c>
    </row>
    <row r="11" customFormat="false" ht="12.75" hidden="false" customHeight="false" outlineLevel="0" collapsed="false">
      <c r="A11" s="1" t="s">
        <v>179</v>
      </c>
      <c r="B11" s="1" t="n">
        <v>0</v>
      </c>
      <c r="D11" s="1" t="n">
        <v>0.6818</v>
      </c>
      <c r="E11" s="1" t="n">
        <v>6</v>
      </c>
      <c r="F11" s="1" t="n">
        <v>0</v>
      </c>
      <c r="G11" s="1" t="n">
        <v>1</v>
      </c>
      <c r="H11" s="1" t="n">
        <v>7</v>
      </c>
      <c r="I11" s="1" t="n">
        <v>7</v>
      </c>
      <c r="J11" s="1" t="n">
        <v>74.9</v>
      </c>
      <c r="K11" s="1" t="n">
        <v>68.8</v>
      </c>
      <c r="L11" s="1" t="n">
        <v>1</v>
      </c>
      <c r="M11" s="1" t="n">
        <v>12.03</v>
      </c>
      <c r="N11" s="1" t="n">
        <v>0.295918367</v>
      </c>
      <c r="O11" s="1" t="n">
        <v>0.253644315</v>
      </c>
      <c r="P11" s="1" t="n">
        <v>0.755</v>
      </c>
      <c r="Q11" s="1" t="n">
        <v>16</v>
      </c>
      <c r="R11" s="1" t="n">
        <v>9</v>
      </c>
      <c r="S11" s="1" t="n">
        <f aca="false">3/7</f>
        <v>0.4285714286</v>
      </c>
      <c r="T11" s="1" t="n">
        <f aca="false">IF(H11+I11=0,0,H11/(I11+H11))</f>
        <v>0.5</v>
      </c>
      <c r="U11" s="1" t="n">
        <f aca="false">H11+I11</f>
        <v>14</v>
      </c>
    </row>
    <row r="12" customFormat="false" ht="12.75" hidden="false" customHeight="false" outlineLevel="0" collapsed="false">
      <c r="A12" s="1" t="s">
        <v>180</v>
      </c>
      <c r="B12" s="1" t="n">
        <v>0</v>
      </c>
      <c r="D12" s="1" t="n">
        <v>0.5075</v>
      </c>
      <c r="E12" s="1" t="n">
        <v>7</v>
      </c>
      <c r="F12" s="1" t="n">
        <v>0</v>
      </c>
      <c r="G12" s="1" t="n">
        <v>0</v>
      </c>
      <c r="H12" s="1" t="n">
        <v>0</v>
      </c>
      <c r="I12" s="1" t="n">
        <v>5</v>
      </c>
      <c r="J12" s="1" t="n">
        <v>74.2</v>
      </c>
      <c r="K12" s="1" t="n">
        <v>77.3</v>
      </c>
      <c r="L12" s="1" t="n">
        <v>0</v>
      </c>
      <c r="M12" s="1" t="n">
        <v>15.65</v>
      </c>
      <c r="N12" s="1" t="n">
        <v>0.320149254</v>
      </c>
      <c r="O12" s="1" t="n">
        <v>0.326436782</v>
      </c>
      <c r="P12" s="1" t="n">
        <v>0.657</v>
      </c>
      <c r="Q12" s="1" t="n">
        <v>18</v>
      </c>
      <c r="R12" s="1" t="n">
        <v>-1.2</v>
      </c>
      <c r="S12" s="1" t="n">
        <f aca="false">4/9</f>
        <v>0.4444444444</v>
      </c>
      <c r="T12" s="1" t="n">
        <f aca="false">IF(H12+I12=0,0,H12/(I12+H12))</f>
        <v>0</v>
      </c>
      <c r="U12" s="1" t="n">
        <f aca="false">H12+I12</f>
        <v>5</v>
      </c>
    </row>
    <row r="13" customFormat="false" ht="12.75" hidden="false" customHeight="false" outlineLevel="0" collapsed="false">
      <c r="A13" s="1" t="s">
        <v>75</v>
      </c>
      <c r="B13" s="1" t="n">
        <v>0</v>
      </c>
      <c r="D13" s="1" t="n">
        <v>0.7305</v>
      </c>
      <c r="E13" s="1" t="n">
        <v>4</v>
      </c>
      <c r="F13" s="1" t="n">
        <v>1</v>
      </c>
      <c r="G13" s="1" t="n">
        <v>1</v>
      </c>
      <c r="H13" s="1" t="n">
        <v>5</v>
      </c>
      <c r="I13" s="1" t="n">
        <v>5</v>
      </c>
      <c r="J13" s="1" t="n">
        <v>78.4</v>
      </c>
      <c r="K13" s="1" t="n">
        <v>69.4</v>
      </c>
      <c r="L13" s="1" t="n">
        <v>1</v>
      </c>
      <c r="M13" s="1" t="n">
        <v>14.35</v>
      </c>
      <c r="N13" s="1" t="n">
        <v>0.385152838</v>
      </c>
      <c r="O13" s="1" t="n">
        <v>0.307598039</v>
      </c>
      <c r="P13" s="1" t="n">
        <v>0.688</v>
      </c>
      <c r="Q13" s="1" t="n">
        <v>17</v>
      </c>
      <c r="R13" s="1" t="n">
        <v>14.7</v>
      </c>
      <c r="S13" s="1" t="n">
        <f aca="false">1/2</f>
        <v>0.5</v>
      </c>
      <c r="T13" s="1" t="n">
        <f aca="false">IF(H13+I13=0,0,H13/(I13+H13))</f>
        <v>0.5</v>
      </c>
      <c r="U13" s="1" t="n">
        <f aca="false">H13+I13</f>
        <v>10</v>
      </c>
    </row>
    <row r="14" customFormat="false" ht="12.75" hidden="false" customHeight="false" outlineLevel="0" collapsed="false">
      <c r="A14" s="1" t="s">
        <v>505</v>
      </c>
      <c r="B14" s="1" t="n">
        <v>1</v>
      </c>
      <c r="D14" s="1" t="n">
        <v>0.7324</v>
      </c>
      <c r="E14" s="1" t="n">
        <v>8</v>
      </c>
      <c r="F14" s="1" t="n">
        <v>0</v>
      </c>
      <c r="G14" s="1" t="n">
        <v>0</v>
      </c>
      <c r="H14" s="1" t="n">
        <v>2</v>
      </c>
      <c r="I14" s="1" t="n">
        <v>4</v>
      </c>
      <c r="J14" s="1" t="n">
        <v>65.3</v>
      </c>
      <c r="K14" s="1" t="n">
        <v>60.4</v>
      </c>
      <c r="L14" s="1" t="n">
        <v>0</v>
      </c>
      <c r="M14" s="1" t="n">
        <v>12.49</v>
      </c>
      <c r="N14" s="1" t="n">
        <v>0.34439834</v>
      </c>
      <c r="O14" s="1" t="n">
        <v>0.221694036</v>
      </c>
      <c r="P14" s="1" t="n">
        <v>0.701</v>
      </c>
      <c r="Q14" s="1" t="n">
        <v>20</v>
      </c>
      <c r="R14" s="1" t="n">
        <v>10.5</v>
      </c>
      <c r="S14" s="1" t="n">
        <f aca="false">3/5</f>
        <v>0.6</v>
      </c>
      <c r="T14" s="1" t="n">
        <f aca="false">IF(H14+I14=0,0,H14/(I14+H14))</f>
        <v>0.333333333333333</v>
      </c>
      <c r="U14" s="1" t="n">
        <f aca="false">H14+I14</f>
        <v>6</v>
      </c>
    </row>
    <row r="15" customFormat="false" ht="12.75" hidden="false" customHeight="false" outlineLevel="0" collapsed="false">
      <c r="A15" s="1" t="s">
        <v>182</v>
      </c>
      <c r="B15" s="1" t="n">
        <v>4</v>
      </c>
      <c r="D15" s="1" t="n">
        <v>0.8503</v>
      </c>
      <c r="E15" s="1" t="n">
        <v>7</v>
      </c>
      <c r="F15" s="1" t="n">
        <v>1</v>
      </c>
      <c r="G15" s="1" t="n">
        <v>1</v>
      </c>
      <c r="H15" s="1" t="n">
        <v>8</v>
      </c>
      <c r="I15" s="1" t="n">
        <v>3</v>
      </c>
      <c r="J15" s="1" t="n">
        <v>78</v>
      </c>
      <c r="K15" s="1" t="n">
        <v>64.4</v>
      </c>
      <c r="L15" s="1" t="n">
        <v>2</v>
      </c>
      <c r="M15" s="1" t="n">
        <v>12.68</v>
      </c>
      <c r="N15" s="1" t="n">
        <v>0.332830189</v>
      </c>
      <c r="O15" s="1" t="n">
        <v>0.183979975</v>
      </c>
      <c r="P15" s="1" t="n">
        <v>0.678</v>
      </c>
      <c r="Q15" s="1" t="n">
        <v>18</v>
      </c>
      <c r="R15" s="1" t="n">
        <v>20.1</v>
      </c>
      <c r="S15" s="1" t="n">
        <v>1</v>
      </c>
      <c r="T15" s="1" t="n">
        <f aca="false">IF(H15+I15=0,0,H15/(I15+H15))</f>
        <v>0.727272727272727</v>
      </c>
      <c r="U15" s="1" t="n">
        <f aca="false">H15+I15</f>
        <v>11</v>
      </c>
    </row>
    <row r="16" customFormat="false" ht="12.75" hidden="false" customHeight="false" outlineLevel="0" collapsed="false">
      <c r="A16" s="1" t="s">
        <v>479</v>
      </c>
      <c r="B16" s="1" t="n">
        <v>0</v>
      </c>
      <c r="D16" s="1" t="n">
        <v>0.7063</v>
      </c>
      <c r="E16" s="1" t="n">
        <v>7</v>
      </c>
      <c r="F16" s="1" t="n">
        <v>0</v>
      </c>
      <c r="G16" s="1" t="n">
        <v>0</v>
      </c>
      <c r="H16" s="1" t="n">
        <v>0</v>
      </c>
      <c r="I16" s="1" t="n">
        <v>3</v>
      </c>
      <c r="J16" s="1" t="n">
        <v>72.6</v>
      </c>
      <c r="K16" s="1" t="n">
        <v>65.9</v>
      </c>
      <c r="L16" s="1" t="n">
        <v>1</v>
      </c>
      <c r="M16" s="1" t="n">
        <v>12.97</v>
      </c>
      <c r="N16" s="1" t="n">
        <v>0.285446009</v>
      </c>
      <c r="O16" s="1" t="n">
        <v>0.317281728</v>
      </c>
      <c r="P16" s="1" t="n">
        <v>0.73</v>
      </c>
      <c r="Q16" s="1" t="n">
        <v>15</v>
      </c>
      <c r="R16" s="1" t="n">
        <v>13.2</v>
      </c>
      <c r="S16" s="1" t="n">
        <f aca="false">1/2</f>
        <v>0.5</v>
      </c>
      <c r="T16" s="1" t="n">
        <f aca="false">IF(H16+I16=0,0,H16/(I16+H16))</f>
        <v>0</v>
      </c>
      <c r="U16" s="1" t="n">
        <f aca="false">H16+I16</f>
        <v>3</v>
      </c>
    </row>
    <row r="17" customFormat="false" ht="12.75" hidden="false" customHeight="false" outlineLevel="0" collapsed="false">
      <c r="A17" s="1" t="s">
        <v>506</v>
      </c>
      <c r="B17" s="1" t="n">
        <v>0</v>
      </c>
      <c r="D17" s="1" t="n">
        <v>0.605</v>
      </c>
      <c r="E17" s="1" t="n">
        <v>7</v>
      </c>
      <c r="F17" s="1" t="n">
        <v>1</v>
      </c>
      <c r="G17" s="1" t="n">
        <v>0</v>
      </c>
      <c r="H17" s="1" t="n">
        <v>0</v>
      </c>
      <c r="I17" s="1" t="n">
        <v>1</v>
      </c>
      <c r="J17" s="1" t="n">
        <v>73.8</v>
      </c>
      <c r="K17" s="1" t="n">
        <v>71</v>
      </c>
      <c r="L17" s="1" t="n">
        <v>0</v>
      </c>
      <c r="M17" s="1" t="n">
        <v>17.73</v>
      </c>
      <c r="N17" s="1" t="n">
        <v>0.351520572</v>
      </c>
      <c r="O17" s="1" t="n">
        <v>0.282097649</v>
      </c>
      <c r="P17" s="1" t="n">
        <v>0.696</v>
      </c>
      <c r="Q17" s="1" t="n">
        <v>17</v>
      </c>
      <c r="R17" s="1" t="n">
        <v>4.6</v>
      </c>
      <c r="S17" s="1" t="n">
        <f aca="false">4/7</f>
        <v>0.5714285714</v>
      </c>
      <c r="T17" s="1" t="n">
        <f aca="false">IF(H17+I17=0,0,H17/(I17+H17))</f>
        <v>0</v>
      </c>
      <c r="U17" s="1" t="n">
        <f aca="false">H17+I17</f>
        <v>1</v>
      </c>
    </row>
    <row r="18" customFormat="false" ht="12.75" hidden="false" customHeight="false" outlineLevel="0" collapsed="false">
      <c r="A18" s="1" t="s">
        <v>103</v>
      </c>
      <c r="B18" s="1" t="n">
        <v>1</v>
      </c>
      <c r="D18" s="1" t="n">
        <v>0.8189</v>
      </c>
      <c r="E18" s="1" t="n">
        <v>5</v>
      </c>
      <c r="F18" s="1" t="n">
        <v>1</v>
      </c>
      <c r="G18" s="1" t="n">
        <v>0</v>
      </c>
      <c r="H18" s="1" t="n">
        <v>4</v>
      </c>
      <c r="I18" s="1" t="n">
        <v>1</v>
      </c>
      <c r="J18" s="1" t="n">
        <v>66.8</v>
      </c>
      <c r="K18" s="1" t="n">
        <v>61.4</v>
      </c>
      <c r="L18" s="1" t="n">
        <v>0</v>
      </c>
      <c r="M18" s="1" t="n">
        <v>13.79</v>
      </c>
      <c r="N18" s="1" t="n">
        <v>0.362330407</v>
      </c>
      <c r="O18" s="1" t="n">
        <v>0.245062837</v>
      </c>
      <c r="P18" s="1" t="n">
        <v>0.647</v>
      </c>
      <c r="Q18" s="1" t="n">
        <v>16</v>
      </c>
      <c r="R18" s="1" t="n">
        <v>8.1</v>
      </c>
      <c r="S18" s="1" t="n">
        <f aca="false">11/12</f>
        <v>0.9166666667</v>
      </c>
      <c r="T18" s="1" t="n">
        <f aca="false">IF(H18+I18=0,0,H18/(I18+H18))</f>
        <v>0.8</v>
      </c>
      <c r="U18" s="1" t="n">
        <f aca="false">H18+I18</f>
        <v>5</v>
      </c>
    </row>
    <row r="19" customFormat="false" ht="12.75" hidden="false" customHeight="false" outlineLevel="0" collapsed="false">
      <c r="A19" s="1" t="s">
        <v>86</v>
      </c>
      <c r="B19" s="1" t="n">
        <v>2</v>
      </c>
      <c r="D19" s="1" t="n">
        <v>0.8451</v>
      </c>
      <c r="E19" s="1" t="n">
        <v>8</v>
      </c>
      <c r="F19" s="1" t="n">
        <v>0</v>
      </c>
      <c r="G19" s="1" t="n">
        <v>1</v>
      </c>
      <c r="H19" s="1" t="n">
        <v>11</v>
      </c>
      <c r="I19" s="1" t="n">
        <v>6</v>
      </c>
      <c r="J19" s="1" t="n">
        <v>77.4</v>
      </c>
      <c r="K19" s="1" t="n">
        <v>66.4</v>
      </c>
      <c r="L19" s="1" t="n">
        <v>3</v>
      </c>
      <c r="M19" s="1" t="n">
        <v>12.32</v>
      </c>
      <c r="N19" s="1" t="n">
        <v>0.363855422</v>
      </c>
      <c r="O19" s="1" t="n">
        <v>0.27817565</v>
      </c>
      <c r="P19" s="1" t="n">
        <v>0.728</v>
      </c>
      <c r="Q19" s="1" t="n">
        <v>14</v>
      </c>
      <c r="R19" s="1" t="n">
        <v>16.6</v>
      </c>
      <c r="S19" s="1" t="n">
        <f aca="false">5/6</f>
        <v>0.8333333333</v>
      </c>
      <c r="T19" s="1" t="n">
        <f aca="false">IF(H19+I19=0,0,H19/(I19+H19))</f>
        <v>0.647058823529412</v>
      </c>
      <c r="U19" s="1" t="n">
        <f aca="false">H19+I19</f>
        <v>17</v>
      </c>
    </row>
    <row r="20" customFormat="false" ht="12.75" hidden="false" customHeight="false" outlineLevel="0" collapsed="false">
      <c r="A20" s="1" t="s">
        <v>507</v>
      </c>
      <c r="B20" s="1" t="n">
        <v>0</v>
      </c>
      <c r="D20" s="1" t="n">
        <v>0.7063</v>
      </c>
      <c r="E20" s="1" t="n">
        <v>6</v>
      </c>
      <c r="F20" s="1" t="n">
        <v>1</v>
      </c>
      <c r="G20" s="1" t="n">
        <v>0</v>
      </c>
      <c r="H20" s="1" t="n">
        <v>1</v>
      </c>
      <c r="I20" s="1" t="n">
        <v>2</v>
      </c>
      <c r="J20" s="1" t="n">
        <v>78</v>
      </c>
      <c r="K20" s="1" t="n">
        <v>73</v>
      </c>
      <c r="L20" s="1" t="n">
        <v>0</v>
      </c>
      <c r="M20" s="1" t="n">
        <v>14.18</v>
      </c>
      <c r="N20" s="1" t="n">
        <v>0.300963082</v>
      </c>
      <c r="O20" s="1" t="n">
        <v>0.220809249</v>
      </c>
      <c r="P20" s="1" t="n">
        <v>0.709</v>
      </c>
      <c r="Q20" s="1" t="n">
        <v>12</v>
      </c>
      <c r="R20" s="1" t="n">
        <v>11</v>
      </c>
      <c r="S20" s="1" t="n">
        <f aca="false">6/11</f>
        <v>0.5454545455</v>
      </c>
      <c r="T20" s="1" t="n">
        <f aca="false">IF(H20+I20=0,0,H20/(I20+H20))</f>
        <v>0.333333333333333</v>
      </c>
      <c r="U20" s="1" t="n">
        <f aca="false">H20+I20</f>
        <v>3</v>
      </c>
    </row>
    <row r="21" customFormat="false" ht="12.75" hidden="false" customHeight="false" outlineLevel="0" collapsed="false">
      <c r="A21" s="1" t="s">
        <v>40</v>
      </c>
      <c r="B21" s="1" t="n">
        <v>0</v>
      </c>
      <c r="D21" s="1" t="n">
        <v>0.7338</v>
      </c>
      <c r="E21" s="1" t="n">
        <v>6</v>
      </c>
      <c r="F21" s="1" t="n">
        <v>1</v>
      </c>
      <c r="G21" s="1" t="n">
        <v>1</v>
      </c>
      <c r="H21" s="1" t="n">
        <v>6</v>
      </c>
      <c r="I21" s="1" t="n">
        <v>7</v>
      </c>
      <c r="J21" s="1" t="n">
        <v>68.3</v>
      </c>
      <c r="K21" s="1" t="n">
        <v>64.9</v>
      </c>
      <c r="L21" s="1" t="n">
        <v>0</v>
      </c>
      <c r="M21" s="1" t="n">
        <v>15.68</v>
      </c>
      <c r="N21" s="1" t="n">
        <v>0.323770492</v>
      </c>
      <c r="O21" s="1" t="n">
        <v>0.272610373</v>
      </c>
      <c r="P21" s="1" t="n">
        <v>0.725</v>
      </c>
      <c r="Q21" s="1" t="n">
        <v>15</v>
      </c>
      <c r="R21" s="1" t="n">
        <v>5.1</v>
      </c>
      <c r="S21" s="1" t="n">
        <f aca="false">3/4</f>
        <v>0.75</v>
      </c>
      <c r="T21" s="1" t="n">
        <f aca="false">IF(H21+I21=0,0,H21/(I21+H21))</f>
        <v>0.461538461538462</v>
      </c>
      <c r="U21" s="1" t="n">
        <f aca="false">H21+I21</f>
        <v>13</v>
      </c>
    </row>
    <row r="22" customFormat="false" ht="12.75" hidden="false" customHeight="false" outlineLevel="0" collapsed="false">
      <c r="A22" s="1" t="s">
        <v>43</v>
      </c>
      <c r="B22" s="1" t="n">
        <v>2</v>
      </c>
      <c r="D22" s="1" t="n">
        <v>0.82</v>
      </c>
      <c r="E22" s="1" t="n">
        <v>9</v>
      </c>
      <c r="F22" s="1" t="n">
        <v>0</v>
      </c>
      <c r="G22" s="1" t="n">
        <v>0</v>
      </c>
      <c r="H22" s="1" t="n">
        <v>4</v>
      </c>
      <c r="I22" s="1" t="n">
        <v>5</v>
      </c>
      <c r="J22" s="1" t="n">
        <v>78.5</v>
      </c>
      <c r="K22" s="1" t="n">
        <v>64.1</v>
      </c>
      <c r="L22" s="1" t="n">
        <v>3</v>
      </c>
      <c r="M22" s="1" t="n">
        <v>11.45</v>
      </c>
      <c r="N22" s="1" t="n">
        <v>0.275423729</v>
      </c>
      <c r="O22" s="1" t="n">
        <v>0.281977932</v>
      </c>
      <c r="P22" s="1" t="n">
        <v>0.717</v>
      </c>
      <c r="Q22" s="1" t="n">
        <v>19</v>
      </c>
      <c r="R22" s="1" t="n">
        <v>23</v>
      </c>
      <c r="S22" s="1" t="n">
        <f aca="false">1/2</f>
        <v>0.5</v>
      </c>
      <c r="T22" s="1" t="n">
        <f aca="false">IF(H22+I22=0,0,H22/(I22+H22))</f>
        <v>0.444444444444444</v>
      </c>
      <c r="U22" s="1" t="n">
        <f aca="false">H22+I22</f>
        <v>9</v>
      </c>
    </row>
    <row r="23" customFormat="false" ht="12.75" hidden="false" customHeight="false" outlineLevel="0" collapsed="false">
      <c r="A23" s="1" t="s">
        <v>363</v>
      </c>
      <c r="B23" s="1" t="n">
        <v>0</v>
      </c>
      <c r="D23" s="1" t="n">
        <v>0.7133</v>
      </c>
      <c r="E23" s="1" t="n">
        <v>6</v>
      </c>
      <c r="F23" s="1" t="n">
        <v>1</v>
      </c>
      <c r="G23" s="1" t="n">
        <v>1</v>
      </c>
      <c r="H23" s="1" t="n">
        <v>9</v>
      </c>
      <c r="I23" s="1" t="n">
        <v>7</v>
      </c>
      <c r="J23" s="1" t="n">
        <v>64.8</v>
      </c>
      <c r="K23" s="1" t="n">
        <v>57.2</v>
      </c>
      <c r="L23" s="1" t="n">
        <v>2</v>
      </c>
      <c r="M23" s="1" t="n">
        <v>12.36</v>
      </c>
      <c r="N23" s="1" t="n">
        <v>0.286885246</v>
      </c>
      <c r="O23" s="1" t="n">
        <v>0.25750469</v>
      </c>
      <c r="P23" s="1" t="n">
        <v>0.711</v>
      </c>
      <c r="Q23" s="1" t="n">
        <v>18</v>
      </c>
      <c r="R23" s="1" t="n">
        <v>12</v>
      </c>
      <c r="S23" s="1" t="n">
        <f aca="false">1/2</f>
        <v>0.5</v>
      </c>
      <c r="T23" s="1" t="n">
        <f aca="false">IF(H23+I23=0,0,H23/(I23+H23))</f>
        <v>0.5625</v>
      </c>
      <c r="U23" s="1" t="n">
        <f aca="false">H23+I23</f>
        <v>16</v>
      </c>
    </row>
    <row r="24" customFormat="false" ht="12.75" hidden="false" customHeight="false" outlineLevel="0" collapsed="false">
      <c r="A24" s="1" t="s">
        <v>71</v>
      </c>
      <c r="B24" s="1" t="n">
        <v>2</v>
      </c>
      <c r="D24" s="1" t="n">
        <v>0.7769</v>
      </c>
      <c r="E24" s="1" t="n">
        <v>7</v>
      </c>
      <c r="F24" s="1" t="n">
        <v>0</v>
      </c>
      <c r="G24" s="1" t="n">
        <v>1</v>
      </c>
      <c r="H24" s="1" t="n">
        <v>9</v>
      </c>
      <c r="I24" s="1" t="n">
        <v>4</v>
      </c>
      <c r="J24" s="1" t="n">
        <v>76.1</v>
      </c>
      <c r="K24" s="1" t="n">
        <v>66</v>
      </c>
      <c r="L24" s="1" t="n">
        <v>3</v>
      </c>
      <c r="M24" s="1" t="n">
        <v>14.59</v>
      </c>
      <c r="N24" s="1" t="n">
        <v>0.310843373</v>
      </c>
      <c r="O24" s="1" t="n">
        <v>0.251620746</v>
      </c>
      <c r="P24" s="1" t="n">
        <v>0.725</v>
      </c>
      <c r="Q24" s="1" t="n">
        <v>11</v>
      </c>
      <c r="R24" s="1" t="n">
        <v>15.8</v>
      </c>
      <c r="S24" s="1" t="n">
        <f aca="false">1/4</f>
        <v>0.25</v>
      </c>
      <c r="T24" s="1" t="n">
        <f aca="false">IF(H24+I24=0,0,H24/(I24+H24))</f>
        <v>0.692307692307692</v>
      </c>
      <c r="U24" s="1" t="n">
        <f aca="false">H24+I24</f>
        <v>13</v>
      </c>
    </row>
    <row r="25" customFormat="false" ht="12.75" hidden="false" customHeight="false" outlineLevel="0" collapsed="false">
      <c r="A25" s="1" t="s">
        <v>109</v>
      </c>
      <c r="B25" s="1" t="n">
        <v>3</v>
      </c>
      <c r="D25" s="1" t="n">
        <v>0.8212</v>
      </c>
      <c r="E25" s="1" t="n">
        <v>10</v>
      </c>
      <c r="F25" s="1" t="n">
        <v>0</v>
      </c>
      <c r="G25" s="1" t="n">
        <v>1</v>
      </c>
      <c r="H25" s="1" t="n">
        <v>9</v>
      </c>
      <c r="I25" s="1" t="n">
        <v>3</v>
      </c>
      <c r="J25" s="1" t="n">
        <v>74.3</v>
      </c>
      <c r="K25" s="1" t="n">
        <v>61.8</v>
      </c>
      <c r="L25" s="1" t="n">
        <v>2</v>
      </c>
      <c r="M25" s="1" t="n">
        <v>13.67</v>
      </c>
      <c r="N25" s="1" t="n">
        <v>0.330940989</v>
      </c>
      <c r="O25" s="1" t="n">
        <v>0.32704918</v>
      </c>
      <c r="P25" s="1" t="n">
        <v>0.642</v>
      </c>
      <c r="Q25" s="1" t="n">
        <v>18</v>
      </c>
      <c r="R25" s="1" t="n">
        <v>18</v>
      </c>
      <c r="S25" s="1" t="n">
        <f aca="false">4/5</f>
        <v>0.8</v>
      </c>
      <c r="T25" s="1" t="n">
        <f aca="false">IF(H25+I25=0,0,H25/(I25+H25))</f>
        <v>0.75</v>
      </c>
      <c r="U25" s="1" t="n">
        <f aca="false">H25+I25</f>
        <v>12</v>
      </c>
    </row>
    <row r="26" customFormat="false" ht="12.75" hidden="false" customHeight="false" outlineLevel="0" collapsed="false">
      <c r="A26" s="1" t="s">
        <v>251</v>
      </c>
      <c r="B26" s="1" t="n">
        <v>1</v>
      </c>
      <c r="D26" s="1" t="n">
        <v>0.7591</v>
      </c>
      <c r="E26" s="1" t="n">
        <v>7</v>
      </c>
      <c r="F26" s="1" t="n">
        <v>1</v>
      </c>
      <c r="G26" s="1" t="n">
        <v>1</v>
      </c>
      <c r="H26" s="1" t="n">
        <v>3</v>
      </c>
      <c r="I26" s="1" t="n">
        <v>4</v>
      </c>
      <c r="J26" s="1" t="n">
        <v>74.8</v>
      </c>
      <c r="K26" s="1" t="n">
        <v>66.2</v>
      </c>
      <c r="L26" s="1" t="n">
        <v>1</v>
      </c>
      <c r="M26" s="1" t="n">
        <v>12.09</v>
      </c>
      <c r="N26" s="1" t="n">
        <v>0.34562212</v>
      </c>
      <c r="O26" s="1" t="n">
        <v>0.240291262</v>
      </c>
      <c r="P26" s="1" t="n">
        <v>0.716</v>
      </c>
      <c r="Q26" s="1" t="n">
        <v>20</v>
      </c>
      <c r="R26" s="1" t="n">
        <v>12.5</v>
      </c>
      <c r="S26" s="1" t="n">
        <v>1</v>
      </c>
      <c r="T26" s="1" t="n">
        <f aca="false">IF(H26+I26=0,0,H26/(I26+H26))</f>
        <v>0.428571428571429</v>
      </c>
      <c r="U26" s="1" t="n">
        <f aca="false">H26+I26</f>
        <v>7</v>
      </c>
    </row>
    <row r="27" customFormat="false" ht="12.75" hidden="false" customHeight="false" outlineLevel="0" collapsed="false">
      <c r="A27" s="1" t="s">
        <v>110</v>
      </c>
      <c r="B27" s="1" t="n">
        <v>1</v>
      </c>
      <c r="D27" s="1" t="n">
        <v>0.7133</v>
      </c>
      <c r="E27" s="1" t="n">
        <v>4</v>
      </c>
      <c r="F27" s="1" t="n">
        <v>0</v>
      </c>
      <c r="G27" s="1" t="n">
        <v>1</v>
      </c>
      <c r="H27" s="1" t="n">
        <v>4</v>
      </c>
      <c r="I27" s="1" t="n">
        <v>8</v>
      </c>
      <c r="J27" s="1" t="n">
        <v>77.6</v>
      </c>
      <c r="K27" s="1" t="n">
        <v>70.4</v>
      </c>
      <c r="L27" s="1" t="n">
        <v>3</v>
      </c>
      <c r="M27" s="1" t="n">
        <v>11.73</v>
      </c>
      <c r="N27" s="1" t="n">
        <v>0.339863714</v>
      </c>
      <c r="O27" s="1" t="n">
        <v>0.268639508</v>
      </c>
      <c r="P27" s="1" t="n">
        <v>0.728</v>
      </c>
      <c r="Q27" s="1" t="n">
        <v>20</v>
      </c>
      <c r="R27" s="1" t="n">
        <v>12.6</v>
      </c>
      <c r="S27" s="1" t="n">
        <f aca="false">1/2</f>
        <v>0.5</v>
      </c>
      <c r="T27" s="1" t="n">
        <f aca="false">IF(H27+I27=0,0,H27/(I27+H27))</f>
        <v>0.333333333333333</v>
      </c>
      <c r="U27" s="1" t="n">
        <f aca="false">H27+I27</f>
        <v>12</v>
      </c>
    </row>
    <row r="28" customFormat="false" ht="12.75" hidden="false" customHeight="false" outlineLevel="0" collapsed="false">
      <c r="A28" s="1" t="s">
        <v>111</v>
      </c>
      <c r="B28" s="1" t="n">
        <v>1</v>
      </c>
      <c r="D28" s="1" t="n">
        <v>0.5547</v>
      </c>
      <c r="E28" s="1" t="n">
        <v>5</v>
      </c>
      <c r="F28" s="1" t="n">
        <v>0</v>
      </c>
      <c r="G28" s="1" t="n">
        <v>1</v>
      </c>
      <c r="H28" s="1" t="n">
        <v>5</v>
      </c>
      <c r="I28" s="1" t="n">
        <v>10</v>
      </c>
      <c r="J28" s="1" t="n">
        <v>71.8</v>
      </c>
      <c r="K28" s="1" t="n">
        <v>69.6</v>
      </c>
      <c r="L28" s="1" t="n">
        <v>1</v>
      </c>
      <c r="M28" s="1" t="n">
        <v>12.48</v>
      </c>
      <c r="N28" s="1" t="n">
        <v>0.360858794</v>
      </c>
      <c r="O28" s="1" t="n">
        <v>0.24173028</v>
      </c>
      <c r="P28" s="1" t="n">
        <v>0.758</v>
      </c>
      <c r="Q28" s="1" t="n">
        <v>16</v>
      </c>
      <c r="R28" s="1" t="n">
        <v>3.8</v>
      </c>
      <c r="S28" s="1" t="n">
        <f aca="false">1/2</f>
        <v>0.5</v>
      </c>
      <c r="T28" s="1" t="n">
        <f aca="false">IF(H28+I28=0,0,H28/(I28+H28))</f>
        <v>0.333333333333333</v>
      </c>
      <c r="U28" s="1" t="n">
        <f aca="false">H28+I28</f>
        <v>15</v>
      </c>
    </row>
    <row r="29" customFormat="false" ht="12.75" hidden="false" customHeight="false" outlineLevel="0" collapsed="false">
      <c r="A29" s="1" t="s">
        <v>325</v>
      </c>
      <c r="B29" s="1" t="n">
        <v>2</v>
      </c>
      <c r="D29" s="1" t="n">
        <v>0.9013</v>
      </c>
      <c r="E29" s="1" t="n">
        <v>10</v>
      </c>
      <c r="F29" s="1" t="n">
        <v>0</v>
      </c>
      <c r="G29" s="1" t="n">
        <v>0</v>
      </c>
      <c r="H29" s="1" t="n">
        <v>3</v>
      </c>
      <c r="I29" s="1" t="n">
        <v>2</v>
      </c>
      <c r="J29" s="1" t="n">
        <v>75.1</v>
      </c>
      <c r="K29" s="1" t="n">
        <v>58.8</v>
      </c>
      <c r="L29" s="1" t="n">
        <v>3</v>
      </c>
      <c r="M29" s="1" t="n">
        <v>12.44</v>
      </c>
      <c r="N29" s="1" t="n">
        <v>0.345007452</v>
      </c>
      <c r="O29" s="1" t="n">
        <v>0.235901509</v>
      </c>
      <c r="P29" s="1" t="n">
        <v>0.69</v>
      </c>
      <c r="Q29" s="1" t="n">
        <v>16</v>
      </c>
      <c r="R29" s="1" t="n">
        <v>23.7</v>
      </c>
      <c r="S29" s="1" t="n">
        <f aca="false">2/3</f>
        <v>0.6666666667</v>
      </c>
      <c r="T29" s="1" t="n">
        <f aca="false">IF(H29+I29=0,0,H29/(I29+H29))</f>
        <v>0.6</v>
      </c>
      <c r="U29" s="1" t="n">
        <f aca="false">H29+I29</f>
        <v>5</v>
      </c>
    </row>
    <row r="30" customFormat="false" ht="12.75" hidden="false" customHeight="false" outlineLevel="0" collapsed="false">
      <c r="A30" s="1" t="s">
        <v>47</v>
      </c>
      <c r="B30" s="1" t="n">
        <v>1</v>
      </c>
      <c r="D30" s="1" t="n">
        <v>0.5769</v>
      </c>
      <c r="E30" s="1" t="n">
        <v>5</v>
      </c>
      <c r="F30" s="1" t="n">
        <v>1</v>
      </c>
      <c r="G30" s="1" t="n">
        <v>1</v>
      </c>
      <c r="H30" s="1" t="n">
        <v>6</v>
      </c>
      <c r="I30" s="1" t="n">
        <v>11</v>
      </c>
      <c r="J30" s="1" t="n">
        <v>66</v>
      </c>
      <c r="K30" s="1" t="n">
        <v>63.8</v>
      </c>
      <c r="L30" s="1" t="n">
        <v>0</v>
      </c>
      <c r="M30" s="1" t="n">
        <v>11.33</v>
      </c>
      <c r="N30" s="1" t="n">
        <v>0.306862745</v>
      </c>
      <c r="O30" s="1" t="n">
        <v>0.385830325</v>
      </c>
      <c r="P30" s="1" t="n">
        <v>0.757</v>
      </c>
      <c r="Q30" s="1" t="n">
        <v>11</v>
      </c>
      <c r="R30" s="1" t="n">
        <v>5.7</v>
      </c>
      <c r="S30" s="1" t="n">
        <f aca="false">5/7</f>
        <v>0.7142857143</v>
      </c>
      <c r="T30" s="1" t="n">
        <f aca="false">IF(H30+I30=0,0,H30/(I30+H30))</f>
        <v>0.352941176470588</v>
      </c>
      <c r="U30" s="1" t="n">
        <f aca="false">H30+I30</f>
        <v>17</v>
      </c>
    </row>
    <row r="31" customFormat="false" ht="13.5" hidden="false" customHeight="true" outlineLevel="0" collapsed="false">
      <c r="A31" s="1" t="s">
        <v>113</v>
      </c>
      <c r="B31" s="1" t="n">
        <v>5</v>
      </c>
      <c r="D31" s="1" t="n">
        <v>0.7949</v>
      </c>
      <c r="E31" s="1" t="n">
        <v>8</v>
      </c>
      <c r="F31" s="1" t="n">
        <v>0</v>
      </c>
      <c r="G31" s="1" t="n">
        <v>1</v>
      </c>
      <c r="H31" s="1" t="n">
        <v>13</v>
      </c>
      <c r="I31" s="1" t="n">
        <v>4</v>
      </c>
      <c r="J31" s="1" t="n">
        <v>72</v>
      </c>
      <c r="K31" s="1" t="n">
        <v>63.1</v>
      </c>
      <c r="L31" s="1" t="n">
        <v>3</v>
      </c>
      <c r="M31" s="1" t="n">
        <v>14.03</v>
      </c>
      <c r="N31" s="1" t="n">
        <v>0.359036145</v>
      </c>
      <c r="O31" s="1" t="n">
        <v>0.215123859</v>
      </c>
      <c r="P31" s="1" t="n">
        <v>0.698</v>
      </c>
      <c r="Q31" s="1" t="n">
        <v>17</v>
      </c>
      <c r="R31" s="1" t="n">
        <v>12.5</v>
      </c>
      <c r="S31" s="1" t="n">
        <f aca="false">5/6</f>
        <v>0.8333333333</v>
      </c>
      <c r="T31" s="1" t="n">
        <f aca="false">IF(H31+I31=0,0,H31/(I31+H31))</f>
        <v>0.764705882352941</v>
      </c>
      <c r="U31" s="1" t="n">
        <f aca="false">H31+I31</f>
        <v>17</v>
      </c>
    </row>
    <row r="32" customFormat="false" ht="12.75" hidden="false" customHeight="false" outlineLevel="0" collapsed="false">
      <c r="A32" s="1" t="s">
        <v>114</v>
      </c>
      <c r="B32" s="1" t="n">
        <v>0</v>
      </c>
      <c r="D32" s="1" t="n">
        <v>0.6535</v>
      </c>
      <c r="E32" s="1" t="n">
        <v>4</v>
      </c>
      <c r="F32" s="1" t="n">
        <v>0</v>
      </c>
      <c r="G32" s="1" t="n">
        <v>1</v>
      </c>
      <c r="H32" s="1" t="n">
        <v>7</v>
      </c>
      <c r="I32" s="1" t="n">
        <v>8</v>
      </c>
      <c r="J32" s="1" t="n">
        <v>66</v>
      </c>
      <c r="K32" s="1" t="n">
        <v>61.9</v>
      </c>
      <c r="L32" s="1" t="n">
        <v>0</v>
      </c>
      <c r="M32" s="1" t="n">
        <v>14.53</v>
      </c>
      <c r="N32" s="1" t="n">
        <v>0.351717902</v>
      </c>
      <c r="O32" s="1" t="n">
        <v>0.259520451</v>
      </c>
      <c r="P32" s="1" t="n">
        <v>0.715</v>
      </c>
      <c r="Q32" s="1" t="n">
        <v>12</v>
      </c>
      <c r="R32" s="1" t="n">
        <v>7.4</v>
      </c>
      <c r="S32" s="1" t="n">
        <f aca="false">5/7</f>
        <v>0.7142857143</v>
      </c>
      <c r="T32" s="1" t="n">
        <f aca="false">IF(H32+I32=0,0,H32/(I32+H32))</f>
        <v>0.466666666666667</v>
      </c>
      <c r="U32" s="1" t="n">
        <f aca="false">H32+I32</f>
        <v>15</v>
      </c>
    </row>
    <row r="33" customFormat="false" ht="12.75" hidden="false" customHeight="false" outlineLevel="0" collapsed="false">
      <c r="A33" s="1" t="s">
        <v>508</v>
      </c>
      <c r="B33" s="1" t="n">
        <v>0</v>
      </c>
      <c r="D33" s="1" t="n">
        <v>0.6076</v>
      </c>
      <c r="E33" s="1" t="n">
        <v>7</v>
      </c>
      <c r="F33" s="1" t="n">
        <v>0</v>
      </c>
      <c r="G33" s="1" t="n">
        <v>1</v>
      </c>
      <c r="H33" s="1" t="n">
        <v>4</v>
      </c>
      <c r="I33" s="1" t="n">
        <v>3</v>
      </c>
      <c r="J33" s="1" t="n">
        <v>78.4</v>
      </c>
      <c r="K33" s="1" t="n">
        <v>72.5</v>
      </c>
      <c r="L33" s="1" t="n">
        <v>1</v>
      </c>
      <c r="M33" s="1" t="n">
        <v>14.29</v>
      </c>
      <c r="N33" s="1" t="n">
        <v>0.291326909</v>
      </c>
      <c r="O33" s="1" t="n">
        <v>0.333333333</v>
      </c>
      <c r="P33" s="1" t="n">
        <v>0.71</v>
      </c>
      <c r="Q33" s="1" t="n">
        <v>13</v>
      </c>
      <c r="R33" s="1" t="n">
        <v>7.7</v>
      </c>
      <c r="S33" s="1" t="n">
        <f aca="false">2/5</f>
        <v>0.4</v>
      </c>
      <c r="T33" s="1" t="n">
        <f aca="false">IF(H33+I33=0,0,H33/(I33+H33))</f>
        <v>0.571428571428571</v>
      </c>
      <c r="U33" s="1" t="n">
        <f aca="false">H33+I33</f>
        <v>7</v>
      </c>
    </row>
    <row r="34" customFormat="false" ht="12.75" hidden="false" customHeight="false" outlineLevel="0" collapsed="false">
      <c r="A34" s="1" t="s">
        <v>39</v>
      </c>
      <c r="B34" s="1" t="n">
        <v>3</v>
      </c>
      <c r="D34" s="1" t="n">
        <v>0.8346</v>
      </c>
      <c r="E34" s="1" t="n">
        <v>8</v>
      </c>
      <c r="F34" s="1" t="n">
        <v>1</v>
      </c>
      <c r="G34" s="1" t="n">
        <v>1</v>
      </c>
      <c r="H34" s="1" t="n">
        <v>8</v>
      </c>
      <c r="I34" s="1" t="n">
        <v>4</v>
      </c>
      <c r="J34" s="1" t="n">
        <v>80.8</v>
      </c>
      <c r="K34" s="1" t="n">
        <v>67.9</v>
      </c>
      <c r="L34" s="1" t="n">
        <v>0</v>
      </c>
      <c r="M34" s="1" t="n">
        <v>12.35</v>
      </c>
      <c r="N34" s="1" t="n">
        <v>0.352426412</v>
      </c>
      <c r="O34" s="1" t="n">
        <v>0.261058738</v>
      </c>
      <c r="P34" s="1" t="n">
        <v>0.672</v>
      </c>
      <c r="Q34" s="1" t="n">
        <v>19</v>
      </c>
      <c r="R34" s="1" t="n">
        <v>19</v>
      </c>
      <c r="S34" s="1" t="n">
        <f aca="false">2/3</f>
        <v>0.6666666667</v>
      </c>
      <c r="T34" s="1" t="n">
        <f aca="false">IF(H34+I34=0,0,H34/(I34+H34))</f>
        <v>0.666666666666667</v>
      </c>
      <c r="U34" s="1" t="n">
        <f aca="false">H34+I34</f>
        <v>12</v>
      </c>
    </row>
    <row r="35" customFormat="false" ht="12.75" hidden="false" customHeight="false" outlineLevel="0" collapsed="false">
      <c r="A35" s="1" t="s">
        <v>509</v>
      </c>
      <c r="B35" s="1" t="n">
        <v>0</v>
      </c>
      <c r="D35" s="1" t="n">
        <v>0.5794</v>
      </c>
      <c r="E35" s="1" t="n">
        <v>6</v>
      </c>
      <c r="F35" s="1" t="n">
        <v>1</v>
      </c>
      <c r="G35" s="1" t="n">
        <v>0</v>
      </c>
      <c r="H35" s="1" t="n">
        <v>1</v>
      </c>
      <c r="I35" s="1" t="n">
        <v>1</v>
      </c>
      <c r="J35" s="1" t="n">
        <v>68.6</v>
      </c>
      <c r="K35" s="1" t="n">
        <v>68.1</v>
      </c>
      <c r="L35" s="1" t="n">
        <v>0</v>
      </c>
      <c r="M35" s="1" t="n">
        <v>15.18</v>
      </c>
      <c r="N35" s="1" t="n">
        <v>0.354229607</v>
      </c>
      <c r="O35" s="1" t="n">
        <v>0.225093789</v>
      </c>
      <c r="P35" s="1" t="n">
        <v>0.721</v>
      </c>
      <c r="Q35" s="1" t="n">
        <v>11</v>
      </c>
      <c r="R35" s="1" t="n">
        <v>4.1</v>
      </c>
      <c r="S35" s="1" t="n">
        <f aca="false">4/11</f>
        <v>0.3636363636</v>
      </c>
      <c r="T35" s="1" t="n">
        <f aca="false">IF(H35+I35=0,0,H35/(I35+H35))</f>
        <v>0.5</v>
      </c>
      <c r="U35" s="1" t="n">
        <f aca="false">H35+I35</f>
        <v>2</v>
      </c>
    </row>
    <row r="36" customFormat="false" ht="12.75" hidden="false" customHeight="false" outlineLevel="0" collapsed="false">
      <c r="A36" s="1" t="s">
        <v>510</v>
      </c>
      <c r="B36" s="1" t="n">
        <v>0</v>
      </c>
      <c r="D36" s="1" t="n">
        <v>0.717</v>
      </c>
      <c r="E36" s="1" t="n">
        <v>9</v>
      </c>
      <c r="F36" s="1" t="n">
        <v>1</v>
      </c>
      <c r="G36" s="1" t="n">
        <v>0</v>
      </c>
      <c r="H36" s="1" t="n">
        <v>1</v>
      </c>
      <c r="I36" s="1" t="n">
        <v>2</v>
      </c>
      <c r="J36" s="1" t="n">
        <v>66.4</v>
      </c>
      <c r="K36" s="1" t="n">
        <v>62.5</v>
      </c>
      <c r="L36" s="1" t="n">
        <v>0</v>
      </c>
      <c r="M36" s="1" t="n">
        <v>13.21</v>
      </c>
      <c r="N36" s="1" t="n">
        <v>0.377125193</v>
      </c>
      <c r="O36" s="1" t="n">
        <v>0.230364195</v>
      </c>
      <c r="P36" s="1" t="n">
        <v>0.648</v>
      </c>
      <c r="Q36" s="1" t="n">
        <v>14</v>
      </c>
      <c r="R36" s="1" t="n">
        <v>6.5</v>
      </c>
      <c r="S36" s="1" t="n">
        <f aca="false">1/2</f>
        <v>0.5</v>
      </c>
      <c r="T36" s="1" t="n">
        <f aca="false">IF(H36+I36=0,0,H36/(I36+H36))</f>
        <v>0.333333333333333</v>
      </c>
      <c r="U36" s="1" t="n">
        <f aca="false">H36+I36</f>
        <v>3</v>
      </c>
    </row>
    <row r="37" customFormat="false" ht="12.75" hidden="false" customHeight="false" outlineLevel="0" collapsed="false">
      <c r="A37" s="1" t="s">
        <v>51</v>
      </c>
      <c r="B37" s="1" t="n">
        <v>6</v>
      </c>
      <c r="D37" s="1" t="n">
        <v>0.8723</v>
      </c>
      <c r="E37" s="1" t="n">
        <v>8</v>
      </c>
      <c r="F37" s="1" t="n">
        <v>1</v>
      </c>
      <c r="G37" s="1" t="n">
        <v>1</v>
      </c>
      <c r="H37" s="1" t="n">
        <v>6</v>
      </c>
      <c r="I37" s="1" t="n">
        <v>4</v>
      </c>
      <c r="J37" s="1" t="n">
        <v>89.1</v>
      </c>
      <c r="K37" s="1" t="n">
        <v>72</v>
      </c>
      <c r="L37" s="1" t="n">
        <v>3</v>
      </c>
      <c r="M37" s="1" t="n">
        <v>12.81</v>
      </c>
      <c r="N37" s="1" t="n">
        <v>0.356720827</v>
      </c>
      <c r="O37" s="1" t="n">
        <v>0.22972973</v>
      </c>
      <c r="P37" s="1" t="n">
        <v>0.752</v>
      </c>
      <c r="Q37" s="1" t="n">
        <v>18</v>
      </c>
      <c r="R37" s="1" t="n">
        <v>23.5</v>
      </c>
      <c r="S37" s="1" t="n">
        <f aca="false">1/2</f>
        <v>0.5</v>
      </c>
      <c r="T37" s="1" t="n">
        <f aca="false">IF(H37+I37=0,0,H37/(I37+H37))</f>
        <v>0.6</v>
      </c>
      <c r="U37" s="1" t="n">
        <f aca="false">H37+I37</f>
        <v>10</v>
      </c>
    </row>
    <row r="38" customFormat="false" ht="12.75" hidden="false" customHeight="false" outlineLevel="0" collapsed="false">
      <c r="A38" s="1" t="s">
        <v>511</v>
      </c>
      <c r="B38" s="1" t="n">
        <v>0</v>
      </c>
      <c r="D38" s="1" t="n">
        <v>0.8333</v>
      </c>
      <c r="E38" s="1" t="n">
        <v>9</v>
      </c>
      <c r="F38" s="1" t="n">
        <v>0</v>
      </c>
      <c r="G38" s="1" t="n">
        <v>0</v>
      </c>
      <c r="H38" s="1" t="n">
        <v>0</v>
      </c>
      <c r="I38" s="1" t="n">
        <v>3</v>
      </c>
      <c r="J38" s="1" t="n">
        <v>78.3</v>
      </c>
      <c r="K38" s="1" t="n">
        <v>69.4</v>
      </c>
      <c r="L38" s="1" t="n">
        <v>0</v>
      </c>
      <c r="M38" s="1" t="n">
        <v>11.28</v>
      </c>
      <c r="N38" s="1" t="n">
        <v>0.311345646</v>
      </c>
      <c r="O38" s="1" t="n">
        <v>0.264603482</v>
      </c>
      <c r="P38" s="1" t="n">
        <v>0.739</v>
      </c>
      <c r="Q38" s="1" t="n">
        <v>21</v>
      </c>
      <c r="R38" s="1" t="n">
        <v>16.6</v>
      </c>
      <c r="S38" s="1" t="n">
        <f aca="false">1/2</f>
        <v>0.5</v>
      </c>
      <c r="T38" s="1" t="n">
        <f aca="false">IF(H38+I38=0,0,H38/(I38+H38))</f>
        <v>0</v>
      </c>
      <c r="U38" s="1" t="n">
        <f aca="false">H38+I38</f>
        <v>3</v>
      </c>
    </row>
    <row r="39" customFormat="false" ht="12.75" hidden="false" customHeight="false" outlineLevel="0" collapsed="false">
      <c r="A39" s="1" t="s">
        <v>195</v>
      </c>
      <c r="B39" s="1" t="n">
        <v>0</v>
      </c>
      <c r="D39" s="1" t="n">
        <v>0.6795</v>
      </c>
      <c r="E39" s="1" t="n">
        <v>6</v>
      </c>
      <c r="F39" s="1" t="n">
        <v>1</v>
      </c>
      <c r="G39" s="1" t="n">
        <v>0</v>
      </c>
      <c r="H39" s="1" t="n">
        <v>0</v>
      </c>
      <c r="I39" s="1" t="n">
        <v>2</v>
      </c>
      <c r="J39" s="1" t="n">
        <v>67.3</v>
      </c>
      <c r="K39" s="1" t="n">
        <v>63.9</v>
      </c>
      <c r="L39" s="1" t="n">
        <v>1</v>
      </c>
      <c r="M39" s="1" t="n">
        <v>11.61</v>
      </c>
      <c r="N39" s="1" t="n">
        <v>0.258589512</v>
      </c>
      <c r="O39" s="1" t="n">
        <v>0.282005372</v>
      </c>
      <c r="P39" s="1" t="n">
        <v>0.753</v>
      </c>
      <c r="Q39" s="1" t="n">
        <v>12</v>
      </c>
      <c r="R39" s="1" t="n">
        <v>6.2</v>
      </c>
      <c r="S39" s="1" t="n">
        <v>0.69230769230769</v>
      </c>
      <c r="T39" s="1" t="n">
        <f aca="false">IF(H39+I39=0,0,H39/(I39+H39))</f>
        <v>0</v>
      </c>
      <c r="U39" s="1" t="n">
        <f aca="false">H39+I39</f>
        <v>2</v>
      </c>
    </row>
    <row r="40" customFormat="false" ht="12.75" hidden="false" customHeight="false" outlineLevel="0" collapsed="false">
      <c r="A40" s="1" t="s">
        <v>41</v>
      </c>
      <c r="B40" s="1" t="n">
        <v>0</v>
      </c>
      <c r="D40" s="1" t="n">
        <v>0.6667</v>
      </c>
      <c r="E40" s="1" t="n">
        <v>5</v>
      </c>
      <c r="F40" s="1" t="n">
        <v>1</v>
      </c>
      <c r="G40" s="1" t="n">
        <v>1</v>
      </c>
      <c r="H40" s="1" t="n">
        <v>7</v>
      </c>
      <c r="I40" s="1" t="n">
        <v>9</v>
      </c>
      <c r="J40" s="1" t="n">
        <v>65.5</v>
      </c>
      <c r="K40" s="1" t="n">
        <v>61.9</v>
      </c>
      <c r="L40" s="1" t="n">
        <v>2</v>
      </c>
      <c r="M40" s="1" t="n">
        <v>13.09</v>
      </c>
      <c r="N40" s="1" t="n">
        <v>0.3</v>
      </c>
      <c r="O40" s="1" t="n">
        <v>0.293814433</v>
      </c>
      <c r="P40" s="1" t="n">
        <v>0.701</v>
      </c>
      <c r="Q40" s="1" t="n">
        <v>11</v>
      </c>
      <c r="R40" s="1" t="n">
        <v>7.7</v>
      </c>
      <c r="S40" s="1" t="n">
        <f aca="false">8/13</f>
        <v>0.6153846154</v>
      </c>
      <c r="T40" s="1" t="n">
        <f aca="false">IF(H40+I40=0,0,H40/(I40+H40))</f>
        <v>0.4375</v>
      </c>
      <c r="U40" s="1" t="n">
        <f aca="false">H40+I40</f>
        <v>16</v>
      </c>
    </row>
    <row r="41" customFormat="false" ht="12.75" hidden="false" customHeight="false" outlineLevel="0" collapsed="false">
      <c r="A41" s="1" t="s">
        <v>85</v>
      </c>
      <c r="B41" s="1" t="n">
        <v>3</v>
      </c>
      <c r="D41" s="1" t="n">
        <v>0.85</v>
      </c>
      <c r="E41" s="1" t="n">
        <v>6</v>
      </c>
      <c r="F41" s="1" t="n">
        <v>0</v>
      </c>
      <c r="G41" s="1" t="n">
        <v>1</v>
      </c>
      <c r="H41" s="1" t="n">
        <v>10</v>
      </c>
      <c r="I41" s="1" t="n">
        <v>4</v>
      </c>
      <c r="J41" s="1" t="n">
        <v>78.7</v>
      </c>
      <c r="K41" s="1" t="n">
        <v>67.5</v>
      </c>
      <c r="L41" s="1" t="n">
        <v>2</v>
      </c>
      <c r="M41" s="1" t="n">
        <v>13.75</v>
      </c>
      <c r="N41" s="1" t="n">
        <v>0.309163347</v>
      </c>
      <c r="O41" s="1" t="n">
        <v>0.261641673</v>
      </c>
      <c r="P41" s="1" t="n">
        <v>0.674</v>
      </c>
      <c r="Q41" s="1" t="n">
        <v>16</v>
      </c>
      <c r="R41" s="1" t="n">
        <v>16.1</v>
      </c>
      <c r="S41" s="1" t="n">
        <f aca="false">3/4</f>
        <v>0.75</v>
      </c>
      <c r="T41" s="1" t="n">
        <f aca="false">IF(H41+I41=0,0,H41/(I41+H41))</f>
        <v>0.714285714285714</v>
      </c>
      <c r="U41" s="1" t="n">
        <f aca="false">H41+I41</f>
        <v>14</v>
      </c>
    </row>
    <row r="42" customFormat="false" ht="12.75" hidden="false" customHeight="false" outlineLevel="0" collapsed="false">
      <c r="A42" s="1" t="s">
        <v>122</v>
      </c>
      <c r="B42" s="1" t="n">
        <v>1</v>
      </c>
      <c r="D42" s="1" t="n">
        <v>0.6569</v>
      </c>
      <c r="E42" s="1" t="n">
        <v>8</v>
      </c>
      <c r="F42" s="1" t="n">
        <v>0</v>
      </c>
      <c r="G42" s="1" t="n">
        <v>1</v>
      </c>
      <c r="H42" s="1" t="n">
        <v>4</v>
      </c>
      <c r="I42" s="1" t="n">
        <v>10</v>
      </c>
      <c r="J42" s="1" t="n">
        <v>80.9</v>
      </c>
      <c r="K42" s="1" t="n">
        <v>74.5</v>
      </c>
      <c r="L42" s="1" t="n">
        <v>0</v>
      </c>
      <c r="M42" s="1" t="n">
        <v>12.42</v>
      </c>
      <c r="N42" s="1" t="n">
        <v>0.284372331</v>
      </c>
      <c r="O42" s="1" t="n">
        <v>0.345162495</v>
      </c>
      <c r="P42" s="1" t="n">
        <v>0.748</v>
      </c>
      <c r="Q42" s="1" t="n">
        <v>16</v>
      </c>
      <c r="R42" s="1" t="n">
        <v>8.7</v>
      </c>
      <c r="S42" s="1" t="n">
        <f aca="false">5/7</f>
        <v>0.7142857143</v>
      </c>
      <c r="T42" s="1" t="n">
        <f aca="false">IF(H42+I42=0,0,H42/(I42+H42))</f>
        <v>0.285714285714286</v>
      </c>
      <c r="U42" s="1" t="n">
        <f aca="false">H42+I42</f>
        <v>14</v>
      </c>
    </row>
    <row r="43" customFormat="false" ht="12.75" hidden="false" customHeight="false" outlineLevel="0" collapsed="false">
      <c r="A43" s="1" t="s">
        <v>197</v>
      </c>
      <c r="B43" s="1" t="n">
        <v>3</v>
      </c>
      <c r="D43" s="1" t="n">
        <v>0.8898</v>
      </c>
      <c r="E43" s="1" t="n">
        <v>8</v>
      </c>
      <c r="F43" s="1" t="n">
        <v>0</v>
      </c>
      <c r="G43" s="1" t="n">
        <v>1</v>
      </c>
      <c r="H43" s="1" t="n">
        <v>10</v>
      </c>
      <c r="I43" s="1" t="n">
        <v>3</v>
      </c>
      <c r="J43" s="1" t="n">
        <v>77.2</v>
      </c>
      <c r="K43" s="1" t="n">
        <v>64.6</v>
      </c>
      <c r="L43" s="1" t="n">
        <v>3</v>
      </c>
      <c r="M43" s="1" t="n">
        <v>12</v>
      </c>
      <c r="N43" s="1" t="n">
        <v>0.375</v>
      </c>
      <c r="O43" s="1" t="n">
        <v>0.238076152</v>
      </c>
      <c r="P43" s="1" t="n">
        <v>0.676</v>
      </c>
      <c r="Q43" s="1" t="n">
        <v>18</v>
      </c>
      <c r="R43" s="1" t="n">
        <v>19.4</v>
      </c>
      <c r="S43" s="1" t="n">
        <f aca="false">1/2</f>
        <v>0.5</v>
      </c>
      <c r="T43" s="1" t="n">
        <f aca="false">IF(H43+I43=0,0,H43/(I43+H43))</f>
        <v>0.769230769230769</v>
      </c>
      <c r="U43" s="1" t="n">
        <f aca="false">H43+I43</f>
        <v>13</v>
      </c>
    </row>
    <row r="44" customFormat="false" ht="12.75" hidden="false" customHeight="false" outlineLevel="0" collapsed="false">
      <c r="A44" s="1" t="s">
        <v>512</v>
      </c>
      <c r="B44" s="1" t="n">
        <v>0</v>
      </c>
      <c r="D44" s="1" t="n">
        <v>0.7411</v>
      </c>
      <c r="E44" s="1" t="n">
        <v>8</v>
      </c>
      <c r="F44" s="1" t="n">
        <v>0</v>
      </c>
      <c r="G44" s="1" t="n">
        <v>0</v>
      </c>
      <c r="H44" s="1" t="n">
        <v>1</v>
      </c>
      <c r="I44" s="1" t="n">
        <v>1</v>
      </c>
      <c r="J44" s="1" t="n">
        <v>73</v>
      </c>
      <c r="K44" s="1" t="n">
        <v>68.7</v>
      </c>
      <c r="L44" s="1" t="n">
        <v>1</v>
      </c>
      <c r="M44" s="1" t="n">
        <v>13.81</v>
      </c>
      <c r="N44" s="1" t="n">
        <v>0.318007663</v>
      </c>
      <c r="O44" s="1" t="n">
        <v>0.392464014</v>
      </c>
      <c r="P44" s="1" t="n">
        <v>0.668</v>
      </c>
      <c r="Q44" s="1" t="n">
        <v>17</v>
      </c>
      <c r="R44" s="1" t="n">
        <v>7.2</v>
      </c>
      <c r="S44" s="1" t="n">
        <f aca="false">8/11</f>
        <v>0.7272727273</v>
      </c>
      <c r="T44" s="1" t="n">
        <f aca="false">IF(H44+I44=0,0,H44/(I44+H44))</f>
        <v>0.5</v>
      </c>
      <c r="U44" s="1" t="n">
        <f aca="false">H44+I44</f>
        <v>2</v>
      </c>
    </row>
    <row r="45" customFormat="false" ht="12.75" hidden="false" customHeight="false" outlineLevel="0" collapsed="false">
      <c r="A45" s="1" t="s">
        <v>69</v>
      </c>
      <c r="B45" s="1" t="n">
        <v>2</v>
      </c>
      <c r="D45" s="1" t="n">
        <v>0.7192</v>
      </c>
      <c r="E45" s="1" t="n">
        <v>7</v>
      </c>
      <c r="F45" s="1" t="n">
        <v>0</v>
      </c>
      <c r="G45" s="1" t="n">
        <v>1</v>
      </c>
      <c r="H45" s="1" t="n">
        <v>9</v>
      </c>
      <c r="I45" s="1" t="n">
        <v>7</v>
      </c>
      <c r="J45" s="1" t="n">
        <v>69.1</v>
      </c>
      <c r="K45" s="1" t="n">
        <v>59.8</v>
      </c>
      <c r="L45" s="1" t="n">
        <v>2</v>
      </c>
      <c r="M45" s="1" t="n">
        <v>11.65</v>
      </c>
      <c r="N45" s="1" t="n">
        <v>0.282403433</v>
      </c>
      <c r="O45" s="1" t="n">
        <v>0.290076336</v>
      </c>
      <c r="P45" s="1" t="n">
        <v>0.703</v>
      </c>
      <c r="Q45" s="1" t="n">
        <v>13</v>
      </c>
      <c r="R45" s="1" t="n">
        <v>13.9</v>
      </c>
      <c r="S45" s="1" t="n">
        <f aca="false">3/5</f>
        <v>0.6</v>
      </c>
      <c r="T45" s="1" t="n">
        <f aca="false">IF(H45+I45=0,0,H45/(I45+H45))</f>
        <v>0.5625</v>
      </c>
      <c r="U45" s="1" t="n">
        <f aca="false">H45+I45</f>
        <v>16</v>
      </c>
    </row>
    <row r="46" customFormat="false" ht="12.75" hidden="false" customHeight="false" outlineLevel="0" collapsed="false">
      <c r="A46" s="1" t="s">
        <v>55</v>
      </c>
      <c r="B46" s="1" t="n">
        <v>0</v>
      </c>
      <c r="D46" s="1" t="n">
        <v>0.6294</v>
      </c>
      <c r="E46" s="1" t="n">
        <v>9</v>
      </c>
      <c r="F46" s="1" t="n">
        <v>1</v>
      </c>
      <c r="G46" s="1" t="n">
        <v>0</v>
      </c>
      <c r="H46" s="1" t="n">
        <v>0</v>
      </c>
      <c r="I46" s="1" t="n">
        <v>2</v>
      </c>
      <c r="J46" s="1" t="n">
        <v>74.4</v>
      </c>
      <c r="K46" s="1" t="n">
        <v>74.6</v>
      </c>
      <c r="L46" s="1" t="n">
        <v>0</v>
      </c>
      <c r="M46" s="1" t="n">
        <v>16.28</v>
      </c>
      <c r="N46" s="1" t="n">
        <v>0.30060423</v>
      </c>
      <c r="O46" s="1" t="n">
        <v>0.194821208</v>
      </c>
      <c r="P46" s="1" t="n">
        <v>0.679</v>
      </c>
      <c r="Q46" s="1" t="n">
        <v>17</v>
      </c>
      <c r="R46" s="1" t="n">
        <v>4.9</v>
      </c>
      <c r="S46" s="1" t="n">
        <f aca="false">4/7</f>
        <v>0.5714285714</v>
      </c>
      <c r="T46" s="1" t="n">
        <f aca="false">IF(H46+I46=0,0,H46/(I46+H46))</f>
        <v>0</v>
      </c>
      <c r="U46" s="1" t="n">
        <f aca="false">H46+I46</f>
        <v>2</v>
      </c>
    </row>
    <row r="47" customFormat="false" ht="12.75" hidden="false" customHeight="false" outlineLevel="0" collapsed="false">
      <c r="A47" s="1" t="s">
        <v>259</v>
      </c>
      <c r="B47" s="1" t="n">
        <v>0</v>
      </c>
      <c r="D47" s="1" t="n">
        <v>0.7333</v>
      </c>
      <c r="E47" s="1" t="n">
        <v>8</v>
      </c>
      <c r="F47" s="1" t="n">
        <v>1</v>
      </c>
      <c r="G47" s="1" t="n">
        <v>0</v>
      </c>
      <c r="H47" s="1" t="n">
        <v>0</v>
      </c>
      <c r="I47" s="1" t="n">
        <v>2</v>
      </c>
      <c r="J47" s="1" t="n">
        <v>70.4</v>
      </c>
      <c r="K47" s="1" t="n">
        <v>65.9</v>
      </c>
      <c r="L47" s="1" t="n">
        <v>0</v>
      </c>
      <c r="M47" s="1" t="n">
        <v>15.41</v>
      </c>
      <c r="N47" s="1" t="n">
        <v>0.304501324</v>
      </c>
      <c r="O47" s="1" t="n">
        <v>0.275675676</v>
      </c>
      <c r="P47" s="1" t="n">
        <v>0.704</v>
      </c>
      <c r="Q47" s="1" t="n">
        <v>15</v>
      </c>
      <c r="R47" s="1" t="n">
        <v>7.6</v>
      </c>
      <c r="S47" s="1" t="n">
        <f aca="false">5/7</f>
        <v>0.714285714285714</v>
      </c>
      <c r="T47" s="1" t="n">
        <f aca="false">IF(H47+I47=0,0,H47/(I47+H47))</f>
        <v>0</v>
      </c>
      <c r="U47" s="1" t="n">
        <f aca="false">H47+I47</f>
        <v>2</v>
      </c>
    </row>
    <row r="48" customFormat="false" ht="12.75" hidden="false" customHeight="false" outlineLevel="0" collapsed="false">
      <c r="A48" s="1" t="s">
        <v>493</v>
      </c>
      <c r="B48" s="1" t="n">
        <v>1</v>
      </c>
      <c r="D48" s="1" t="n">
        <v>0.8085</v>
      </c>
      <c r="E48" s="1" t="n">
        <v>8</v>
      </c>
      <c r="F48" s="1" t="n">
        <v>1</v>
      </c>
      <c r="G48" s="1" t="n">
        <v>0</v>
      </c>
      <c r="H48" s="1" t="n">
        <v>2</v>
      </c>
      <c r="I48" s="1" t="n">
        <v>4</v>
      </c>
      <c r="J48" s="1" t="n">
        <v>77.4</v>
      </c>
      <c r="K48" s="1" t="n">
        <v>70.3</v>
      </c>
      <c r="L48" s="1" t="n">
        <v>1</v>
      </c>
      <c r="M48" s="1" t="n">
        <v>13.06</v>
      </c>
      <c r="N48" s="1" t="n">
        <v>0.338383838</v>
      </c>
      <c r="O48" s="1" t="n">
        <v>0.200156067</v>
      </c>
      <c r="P48" s="1" t="n">
        <v>0.664</v>
      </c>
      <c r="Q48" s="1" t="n">
        <v>17</v>
      </c>
      <c r="R48" s="1" t="n">
        <v>9.7</v>
      </c>
      <c r="S48" s="1" t="n">
        <f aca="false">5/7</f>
        <v>0.714285714285714</v>
      </c>
      <c r="T48" s="1" t="n">
        <f aca="false">IF(H48+I48=0,0,H48/(I48+H48))</f>
        <v>0.333333333333333</v>
      </c>
      <c r="U48" s="1" t="n">
        <f aca="false">H48+I48</f>
        <v>6</v>
      </c>
    </row>
    <row r="49" customFormat="false" ht="12.75" hidden="false" customHeight="false" outlineLevel="0" collapsed="false">
      <c r="A49" s="1" t="s">
        <v>513</v>
      </c>
      <c r="B49" s="1" t="n">
        <v>1</v>
      </c>
      <c r="D49" s="1" t="n">
        <v>0.622</v>
      </c>
      <c r="E49" s="1" t="n">
        <v>6</v>
      </c>
      <c r="F49" s="1" t="n">
        <v>1</v>
      </c>
      <c r="G49" s="1" t="n">
        <v>1</v>
      </c>
      <c r="H49" s="1" t="n">
        <v>8</v>
      </c>
      <c r="I49" s="1" t="n">
        <v>9</v>
      </c>
      <c r="J49" s="1" t="n">
        <v>68.5</v>
      </c>
      <c r="K49" s="1" t="n">
        <v>63.5</v>
      </c>
      <c r="L49" s="1" t="n">
        <v>2</v>
      </c>
      <c r="M49" s="1" t="n">
        <v>14.03</v>
      </c>
      <c r="N49" s="1" t="n">
        <v>0.326565144</v>
      </c>
      <c r="O49" s="1" t="n">
        <v>0.164893617</v>
      </c>
      <c r="P49" s="1" t="n">
        <v>0.674</v>
      </c>
      <c r="Q49" s="1" t="n">
        <v>11</v>
      </c>
      <c r="R49" s="1" t="n">
        <v>7.5</v>
      </c>
      <c r="S49" s="1" t="n">
        <f aca="false">1/2</f>
        <v>0.5</v>
      </c>
      <c r="T49" s="1" t="n">
        <f aca="false">IF(H49+I49=0,0,H49/(I49+H49))</f>
        <v>0.470588235294118</v>
      </c>
      <c r="U49" s="1" t="n">
        <f aca="false">H49+I49</f>
        <v>17</v>
      </c>
    </row>
    <row r="50" customFormat="false" ht="12.75" hidden="false" customHeight="false" outlineLevel="0" collapsed="false">
      <c r="A50" s="1" t="s">
        <v>262</v>
      </c>
      <c r="B50" s="1" t="n">
        <v>0</v>
      </c>
      <c r="D50" s="1" t="n">
        <v>0.8174</v>
      </c>
      <c r="E50" s="1" t="n">
        <v>9</v>
      </c>
      <c r="F50" s="1" t="n">
        <v>1</v>
      </c>
      <c r="G50" s="1" t="n">
        <v>0</v>
      </c>
      <c r="H50" s="1" t="n">
        <v>1</v>
      </c>
      <c r="I50" s="1" t="n">
        <v>1</v>
      </c>
      <c r="J50" s="1" t="n">
        <v>63.3</v>
      </c>
      <c r="K50" s="1" t="n">
        <v>59</v>
      </c>
      <c r="L50" s="1" t="n">
        <v>0</v>
      </c>
      <c r="M50" s="1" t="n">
        <v>12.19</v>
      </c>
      <c r="N50" s="1" t="n">
        <v>0.271978022</v>
      </c>
      <c r="O50" s="1" t="n">
        <v>0.255474453</v>
      </c>
      <c r="P50" s="1" t="n">
        <v>0.649</v>
      </c>
      <c r="Q50" s="1" t="n">
        <v>15</v>
      </c>
      <c r="R50" s="1" t="n">
        <v>14.4</v>
      </c>
      <c r="S50" s="1" t="n">
        <f aca="false">7/9</f>
        <v>0.7777777778</v>
      </c>
      <c r="T50" s="1" t="n">
        <f aca="false">IF(H50+I50=0,0,H50/(I50+H50))</f>
        <v>0.5</v>
      </c>
      <c r="U50" s="1" t="n">
        <f aca="false">H50+I50</f>
        <v>2</v>
      </c>
    </row>
    <row r="51" customFormat="false" ht="12.75" hidden="false" customHeight="false" outlineLevel="0" collapsed="false">
      <c r="A51" s="1" t="s">
        <v>81</v>
      </c>
      <c r="B51" s="1" t="n">
        <v>2</v>
      </c>
      <c r="D51" s="1" t="n">
        <v>0.7192</v>
      </c>
      <c r="E51" s="1" t="n">
        <v>8</v>
      </c>
      <c r="F51" s="1" t="n">
        <v>0</v>
      </c>
      <c r="G51" s="1" t="n">
        <v>1</v>
      </c>
      <c r="H51" s="1" t="n">
        <v>7</v>
      </c>
      <c r="I51" s="1" t="n">
        <v>7</v>
      </c>
      <c r="J51" s="1" t="n">
        <v>80</v>
      </c>
      <c r="K51" s="1" t="n">
        <v>72.3</v>
      </c>
      <c r="L51" s="1" t="n">
        <v>1</v>
      </c>
      <c r="M51" s="1" t="n">
        <v>15.26</v>
      </c>
      <c r="N51" s="1" t="n">
        <v>0.325648415</v>
      </c>
      <c r="O51" s="1" t="n">
        <v>0.251585624</v>
      </c>
      <c r="P51" s="1" t="n">
        <v>0.645</v>
      </c>
      <c r="Q51" s="1" t="n">
        <v>17</v>
      </c>
      <c r="R51" s="1" t="n">
        <v>11.6</v>
      </c>
      <c r="S51" s="1" t="n">
        <f aca="false">5/7</f>
        <v>0.7142857143</v>
      </c>
      <c r="T51" s="1" t="n">
        <f aca="false">IF(H51+I51=0,0,H51/(I51+H51))</f>
        <v>0.5</v>
      </c>
      <c r="U51" s="1" t="n">
        <f aca="false">H51+I51</f>
        <v>14</v>
      </c>
    </row>
    <row r="52" customFormat="false" ht="12.75" hidden="false" customHeight="false" outlineLevel="0" collapsed="false">
      <c r="A52" s="1" t="s">
        <v>202</v>
      </c>
      <c r="B52" s="1" t="n">
        <v>0</v>
      </c>
      <c r="D52" s="1" t="n">
        <v>0.719</v>
      </c>
      <c r="E52" s="1" t="n">
        <v>8</v>
      </c>
      <c r="F52" s="1" t="n">
        <v>0</v>
      </c>
      <c r="G52" s="1" t="n">
        <v>0</v>
      </c>
      <c r="H52" s="1" t="n">
        <v>3</v>
      </c>
      <c r="I52" s="1" t="n">
        <v>5</v>
      </c>
      <c r="J52" s="1" t="n">
        <v>68.6</v>
      </c>
      <c r="K52" s="1" t="n">
        <v>63.5</v>
      </c>
      <c r="L52" s="1" t="n">
        <v>1</v>
      </c>
      <c r="M52" s="1" t="n">
        <v>12.64</v>
      </c>
      <c r="N52" s="1" t="n">
        <v>0.301066448</v>
      </c>
      <c r="O52" s="1" t="n">
        <v>0.332161687</v>
      </c>
      <c r="P52" s="1" t="n">
        <v>0.7</v>
      </c>
      <c r="Q52" s="1" t="n">
        <v>18</v>
      </c>
      <c r="R52" s="1" t="n">
        <v>7.9</v>
      </c>
      <c r="S52" s="1" t="n">
        <f aca="false">5/9</f>
        <v>0.5555555556</v>
      </c>
      <c r="T52" s="1" t="n">
        <f aca="false">IF(H52+I52=0,0,H52/(I52+H52))</f>
        <v>0.375</v>
      </c>
      <c r="U52" s="1" t="n">
        <f aca="false">H52+I52</f>
        <v>8</v>
      </c>
    </row>
    <row r="53" customFormat="false" ht="12.75" hidden="false" customHeight="false" outlineLevel="0" collapsed="false">
      <c r="A53" s="1" t="s">
        <v>336</v>
      </c>
      <c r="B53" s="1" t="n">
        <v>0</v>
      </c>
      <c r="D53" s="1" t="n">
        <v>0.6178</v>
      </c>
      <c r="E53" s="1" t="n">
        <v>6</v>
      </c>
      <c r="F53" s="1" t="n">
        <v>1</v>
      </c>
      <c r="G53" s="1" t="n">
        <v>1</v>
      </c>
      <c r="H53" s="1" t="n">
        <v>4</v>
      </c>
      <c r="I53" s="1" t="n">
        <v>7</v>
      </c>
      <c r="J53" s="1" t="n">
        <v>78.4</v>
      </c>
      <c r="K53" s="1" t="n">
        <v>72.5</v>
      </c>
      <c r="L53" s="1" t="n">
        <v>3</v>
      </c>
      <c r="M53" s="1" t="n">
        <v>13.36</v>
      </c>
      <c r="N53" s="1" t="n">
        <v>0.368012422</v>
      </c>
      <c r="O53" s="1" t="n">
        <v>0.252509653</v>
      </c>
      <c r="P53" s="1" t="n">
        <v>0.676</v>
      </c>
      <c r="Q53" s="1" t="n">
        <v>12</v>
      </c>
      <c r="R53" s="1" t="n">
        <v>8.2</v>
      </c>
      <c r="S53" s="1" t="n">
        <f aca="false">1/2</f>
        <v>0.5</v>
      </c>
      <c r="T53" s="1" t="n">
        <f aca="false">IF(H53+I53=0,0,H53/(I53+H53))</f>
        <v>0.363636363636364</v>
      </c>
      <c r="U53" s="1" t="n">
        <f aca="false">H53+I53</f>
        <v>11</v>
      </c>
    </row>
    <row r="54" customFormat="false" ht="12.75" hidden="false" customHeight="false" outlineLevel="0" collapsed="false">
      <c r="A54" s="1" t="s">
        <v>33</v>
      </c>
      <c r="B54" s="1" t="n">
        <v>1</v>
      </c>
      <c r="D54" s="1" t="n">
        <v>0.6619</v>
      </c>
      <c r="E54" s="1" t="n">
        <v>6</v>
      </c>
      <c r="F54" s="1" t="n">
        <v>0</v>
      </c>
      <c r="G54" s="1" t="n">
        <v>1</v>
      </c>
      <c r="H54" s="1" t="n">
        <v>6</v>
      </c>
      <c r="I54" s="1" t="n">
        <v>6</v>
      </c>
      <c r="J54" s="1" t="n">
        <v>72.3</v>
      </c>
      <c r="K54" s="1" t="n">
        <v>65.6</v>
      </c>
      <c r="L54" s="1" t="n">
        <v>3</v>
      </c>
      <c r="M54" s="1" t="n">
        <v>12.52</v>
      </c>
      <c r="N54" s="1" t="n">
        <v>0.365834633</v>
      </c>
      <c r="O54" s="1" t="n">
        <v>0.191034772</v>
      </c>
      <c r="P54" s="1" t="n">
        <v>0.668</v>
      </c>
      <c r="Q54" s="1" t="n">
        <v>17</v>
      </c>
      <c r="R54" s="1" t="n">
        <v>9.9</v>
      </c>
      <c r="S54" s="1" t="n">
        <f aca="false">2/5</f>
        <v>0.4</v>
      </c>
      <c r="T54" s="1" t="n">
        <f aca="false">IF(H54+I54=0,0,H54/(I54+H54))</f>
        <v>0.5</v>
      </c>
      <c r="U54" s="1" t="n">
        <f aca="false">H54+I54</f>
        <v>12</v>
      </c>
    </row>
    <row r="55" customFormat="false" ht="12.75" hidden="false" customHeight="false" outlineLevel="0" collapsed="false">
      <c r="A55" s="1" t="s">
        <v>49</v>
      </c>
      <c r="B55" s="1" t="n">
        <v>1</v>
      </c>
      <c r="D55" s="1" t="n">
        <v>0.6977</v>
      </c>
      <c r="E55" s="1" t="n">
        <v>6</v>
      </c>
      <c r="F55" s="1" t="n">
        <v>0</v>
      </c>
      <c r="G55" s="1" t="n">
        <v>1</v>
      </c>
      <c r="H55" s="1" t="n">
        <v>6</v>
      </c>
      <c r="I55" s="1" t="n">
        <v>5</v>
      </c>
      <c r="J55" s="1" t="n">
        <v>71.6</v>
      </c>
      <c r="K55" s="1" t="n">
        <v>67.2</v>
      </c>
      <c r="L55" s="1" t="n">
        <v>3</v>
      </c>
      <c r="M55" s="1" t="n">
        <v>12.84</v>
      </c>
      <c r="N55" s="1" t="n">
        <v>0.339797639</v>
      </c>
      <c r="O55" s="1" t="n">
        <v>0.252287582</v>
      </c>
      <c r="P55" s="1" t="n">
        <v>0.694</v>
      </c>
      <c r="Q55" s="1" t="n">
        <v>18</v>
      </c>
      <c r="R55" s="1" t="n">
        <v>7.1</v>
      </c>
      <c r="S55" s="1" t="n">
        <f aca="false">1/2</f>
        <v>0.5</v>
      </c>
      <c r="T55" s="1" t="n">
        <f aca="false">IF(H55+I55=0,0,H55/(I55+H55))</f>
        <v>0.545454545454545</v>
      </c>
      <c r="U55" s="1" t="n">
        <f aca="false">H55+I55</f>
        <v>11</v>
      </c>
    </row>
    <row r="56" customFormat="false" ht="12.75" hidden="false" customHeight="false" outlineLevel="0" collapsed="false">
      <c r="A56" s="1" t="s">
        <v>64</v>
      </c>
      <c r="B56" s="1" t="n">
        <v>1</v>
      </c>
      <c r="D56" s="1" t="n">
        <v>0.7447</v>
      </c>
      <c r="E56" s="1" t="n">
        <v>6</v>
      </c>
      <c r="F56" s="1" t="n">
        <v>0</v>
      </c>
      <c r="G56" s="1" t="n">
        <v>1</v>
      </c>
      <c r="H56" s="1" t="n">
        <v>7</v>
      </c>
      <c r="I56" s="1" t="n">
        <v>7</v>
      </c>
      <c r="J56" s="1" t="n">
        <v>75.5</v>
      </c>
      <c r="K56" s="1" t="n">
        <v>64</v>
      </c>
      <c r="L56" s="1" t="n">
        <v>3</v>
      </c>
      <c r="M56" s="1" t="n">
        <v>12.36</v>
      </c>
      <c r="N56" s="1" t="n">
        <v>0.347706422</v>
      </c>
      <c r="O56" s="1" t="n">
        <v>0.295454545</v>
      </c>
      <c r="P56" s="1" t="n">
        <v>0.724</v>
      </c>
      <c r="Q56" s="1" t="n">
        <v>21</v>
      </c>
      <c r="R56" s="1" t="n">
        <v>17.4</v>
      </c>
      <c r="S56" s="1" t="n">
        <f aca="false">3/5</f>
        <v>0.6</v>
      </c>
      <c r="T56" s="1" t="n">
        <f aca="false">IF(H56+I56=0,0,H56/(I56+H56))</f>
        <v>0.5</v>
      </c>
      <c r="U56" s="1" t="n">
        <f aca="false">H56+I56</f>
        <v>14</v>
      </c>
    </row>
    <row r="57" customFormat="false" ht="12.75" hidden="false" customHeight="false" outlineLevel="0" collapsed="false">
      <c r="A57" s="1" t="s">
        <v>206</v>
      </c>
      <c r="B57" s="1" t="n">
        <v>0</v>
      </c>
      <c r="D57" s="1" t="n">
        <v>0.791</v>
      </c>
      <c r="E57" s="1" t="n">
        <v>8</v>
      </c>
      <c r="F57" s="1" t="n">
        <v>0</v>
      </c>
      <c r="G57" s="1" t="n">
        <v>0</v>
      </c>
      <c r="H57" s="1" t="n">
        <v>4</v>
      </c>
      <c r="I57" s="1" t="n">
        <v>4</v>
      </c>
      <c r="J57" s="1" t="n">
        <v>71</v>
      </c>
      <c r="K57" s="1" t="n">
        <v>64.1</v>
      </c>
      <c r="L57" s="1" t="n">
        <v>0</v>
      </c>
      <c r="M57" s="1" t="n">
        <v>13.61</v>
      </c>
      <c r="N57" s="1" t="n">
        <v>0.227115717</v>
      </c>
      <c r="O57" s="1" t="n">
        <v>0.298723404</v>
      </c>
      <c r="P57" s="1" t="n">
        <v>0.781</v>
      </c>
      <c r="Q57" s="1" t="n">
        <v>13</v>
      </c>
      <c r="R57" s="1" t="n">
        <v>10</v>
      </c>
      <c r="S57" s="1" t="n">
        <f aca="false">1/2</f>
        <v>0.5</v>
      </c>
      <c r="T57" s="1" t="n">
        <f aca="false">IF(H57+I57=0,0,H57/(I57+H57))</f>
        <v>0.5</v>
      </c>
      <c r="U57" s="1" t="n">
        <f aca="false">H57+I57</f>
        <v>8</v>
      </c>
    </row>
    <row r="58" customFormat="false" ht="12.75" hidden="false" customHeight="false" outlineLevel="0" collapsed="false">
      <c r="A58" s="1" t="s">
        <v>514</v>
      </c>
      <c r="B58" s="1" t="n">
        <v>0</v>
      </c>
      <c r="D58" s="1" t="n">
        <v>0.906</v>
      </c>
      <c r="E58" s="1" t="n">
        <v>7</v>
      </c>
      <c r="F58" s="1" t="n">
        <v>1</v>
      </c>
      <c r="G58" s="1" t="n">
        <v>0</v>
      </c>
      <c r="H58" s="1" t="n">
        <v>1</v>
      </c>
      <c r="I58" s="1" t="n">
        <v>1</v>
      </c>
      <c r="J58" s="1" t="n">
        <v>71.7</v>
      </c>
      <c r="K58" s="1" t="n">
        <v>62.4</v>
      </c>
      <c r="L58" s="1" t="n">
        <v>1</v>
      </c>
      <c r="M58" s="1" t="n">
        <v>11.29</v>
      </c>
      <c r="N58" s="1" t="n">
        <v>0.304421769</v>
      </c>
      <c r="O58" s="1" t="n">
        <v>0.26039564</v>
      </c>
      <c r="P58" s="1" t="n">
        <v>0.74</v>
      </c>
      <c r="Q58" s="1" t="n">
        <v>10</v>
      </c>
      <c r="R58" s="1" t="n">
        <v>16.8</v>
      </c>
      <c r="S58" s="1" t="n">
        <f aca="false">3/4</f>
        <v>0.75</v>
      </c>
      <c r="T58" s="1" t="n">
        <f aca="false">IF(H58+I58=0,0,H58/(I58+H58))</f>
        <v>0.5</v>
      </c>
      <c r="U58" s="1" t="n">
        <f aca="false">H58+I58</f>
        <v>2</v>
      </c>
    </row>
    <row r="59" customFormat="false" ht="12.75" hidden="false" customHeight="false" outlineLevel="0" collapsed="false">
      <c r="A59" s="1" t="s">
        <v>207</v>
      </c>
      <c r="B59" s="1" t="n">
        <v>0</v>
      </c>
      <c r="D59" s="1" t="n">
        <v>0.7552</v>
      </c>
      <c r="E59" s="1" t="n">
        <v>8</v>
      </c>
      <c r="F59" s="1" t="n">
        <v>1</v>
      </c>
      <c r="G59" s="1" t="n">
        <v>0</v>
      </c>
      <c r="H59" s="1" t="n">
        <v>1</v>
      </c>
      <c r="I59" s="1" t="n">
        <v>1</v>
      </c>
      <c r="J59" s="1" t="n">
        <v>71.8</v>
      </c>
      <c r="K59" s="1" t="n">
        <v>63.4</v>
      </c>
      <c r="L59" s="1" t="n">
        <v>1</v>
      </c>
      <c r="M59" s="1" t="n">
        <v>12.7</v>
      </c>
      <c r="N59" s="1" t="n">
        <v>0.314005352</v>
      </c>
      <c r="O59" s="1" t="n">
        <v>0.272727273</v>
      </c>
      <c r="P59" s="1" t="n">
        <v>0.705</v>
      </c>
      <c r="Q59" s="1" t="n">
        <v>13</v>
      </c>
      <c r="R59" s="1" t="n">
        <v>12.5</v>
      </c>
      <c r="S59" s="1" t="n">
        <f aca="false">6/13</f>
        <v>0.4615384615</v>
      </c>
      <c r="T59" s="1" t="n">
        <f aca="false">IF(H59+I59=0,0,H59/(I59+H59))</f>
        <v>0.5</v>
      </c>
      <c r="U59" s="1" t="n">
        <f aca="false">H59+I59</f>
        <v>2</v>
      </c>
    </row>
    <row r="60" customFormat="false" ht="12.75" hidden="false" customHeight="false" outlineLevel="0" collapsed="false">
      <c r="A60" s="1" t="s">
        <v>135</v>
      </c>
      <c r="B60" s="1" t="n">
        <v>4</v>
      </c>
      <c r="D60" s="1" t="n">
        <v>0.7785</v>
      </c>
      <c r="E60" s="1" t="n">
        <v>7</v>
      </c>
      <c r="F60" s="1" t="n">
        <v>1</v>
      </c>
      <c r="G60" s="1" t="n">
        <v>1</v>
      </c>
      <c r="H60" s="1" t="n">
        <v>6</v>
      </c>
      <c r="I60" s="1" t="n">
        <v>6</v>
      </c>
      <c r="J60" s="1" t="n">
        <v>76.4</v>
      </c>
      <c r="K60" s="1" t="n">
        <v>67.6</v>
      </c>
      <c r="L60" s="1" t="n">
        <v>3</v>
      </c>
      <c r="M60" s="1" t="n">
        <v>13.36</v>
      </c>
      <c r="N60" s="1" t="n">
        <v>0.326315789</v>
      </c>
      <c r="O60" s="1" t="n">
        <v>0.258907363</v>
      </c>
      <c r="P60" s="1" t="n">
        <v>0.753</v>
      </c>
      <c r="Q60" s="1" t="n">
        <v>18</v>
      </c>
      <c r="R60" s="1" t="n">
        <v>13.5</v>
      </c>
      <c r="S60" s="1" t="n">
        <f aca="false">7/9</f>
        <v>0.7777777778</v>
      </c>
      <c r="T60" s="1" t="n">
        <f aca="false">IF(H60+I60=0,0,H60/(I60+H60))</f>
        <v>0.5</v>
      </c>
      <c r="U60" s="1" t="n">
        <f aca="false">H60+I60</f>
        <v>12</v>
      </c>
    </row>
    <row r="61" customFormat="false" ht="12.75" hidden="false" customHeight="false" outlineLevel="0" collapsed="false">
      <c r="A61" s="1" t="s">
        <v>136</v>
      </c>
      <c r="B61" s="1" t="n">
        <v>0</v>
      </c>
      <c r="D61" s="1" t="n">
        <v>0.8154</v>
      </c>
      <c r="E61" s="1" t="n">
        <v>7</v>
      </c>
      <c r="F61" s="1" t="n">
        <v>0</v>
      </c>
      <c r="G61" s="1" t="n">
        <v>1</v>
      </c>
      <c r="H61" s="1" t="n">
        <v>10</v>
      </c>
      <c r="I61" s="1" t="n">
        <v>2</v>
      </c>
      <c r="J61" s="1" t="n">
        <v>81.2</v>
      </c>
      <c r="K61" s="1" t="n">
        <v>72.9</v>
      </c>
      <c r="L61" s="1" t="n">
        <v>0</v>
      </c>
      <c r="M61" s="1" t="n">
        <v>15.8</v>
      </c>
      <c r="N61" s="1" t="n">
        <v>0.309194467</v>
      </c>
      <c r="O61" s="1" t="n">
        <v>0.148709545</v>
      </c>
      <c r="P61" s="1" t="n">
        <v>0.711</v>
      </c>
      <c r="Q61" s="1" t="n">
        <v>14</v>
      </c>
      <c r="R61" s="1" t="n">
        <v>13.6</v>
      </c>
      <c r="S61" s="1" t="n">
        <f aca="false">4/5</f>
        <v>0.8</v>
      </c>
      <c r="T61" s="1" t="n">
        <f aca="false">IF(H61+I61=0,0,H61/(I61+H61))</f>
        <v>0.833333333333333</v>
      </c>
      <c r="U61" s="1" t="n">
        <f aca="false">H61+I61</f>
        <v>12</v>
      </c>
    </row>
    <row r="62" customFormat="false" ht="12.75" hidden="false" customHeight="false" outlineLevel="0" collapsed="false">
      <c r="A62" s="1" t="s">
        <v>472</v>
      </c>
      <c r="B62" s="1" t="n">
        <v>1</v>
      </c>
      <c r="D62" s="1" t="n">
        <v>0.7424</v>
      </c>
      <c r="E62" s="1" t="n">
        <v>8</v>
      </c>
      <c r="F62" s="1" t="n">
        <v>0</v>
      </c>
      <c r="G62" s="1" t="n">
        <v>1</v>
      </c>
      <c r="H62" s="1" t="n">
        <v>10</v>
      </c>
      <c r="I62" s="1" t="n">
        <v>6</v>
      </c>
      <c r="J62" s="1" t="n">
        <v>78.3</v>
      </c>
      <c r="K62" s="1" t="n">
        <v>69.7</v>
      </c>
      <c r="L62" s="1" t="n">
        <v>1</v>
      </c>
      <c r="M62" s="1" t="n">
        <v>14.88</v>
      </c>
      <c r="N62" s="1" t="n">
        <v>0.36908284</v>
      </c>
      <c r="O62" s="1" t="n">
        <v>0.161228407</v>
      </c>
      <c r="P62" s="1" t="n">
        <v>0.7</v>
      </c>
      <c r="Q62" s="1" t="n">
        <v>15</v>
      </c>
      <c r="R62" s="1" t="n">
        <v>12.5</v>
      </c>
      <c r="S62" s="1" t="n">
        <f aca="false">5/8</f>
        <v>0.625</v>
      </c>
      <c r="T62" s="1" t="n">
        <f aca="false">IF(H62+I62=0,0,H62/(I62+H62))</f>
        <v>0.625</v>
      </c>
      <c r="U62" s="1" t="n">
        <f aca="false">H62+I62</f>
        <v>16</v>
      </c>
    </row>
    <row r="63" customFormat="false" ht="12.75" hidden="false" customHeight="false" outlineLevel="0" collapsed="false">
      <c r="A63" s="1" t="s">
        <v>58</v>
      </c>
      <c r="B63" s="1" t="n">
        <v>0</v>
      </c>
      <c r="D63" s="1" t="n">
        <v>0.6772</v>
      </c>
      <c r="E63" s="1" t="n">
        <v>7</v>
      </c>
      <c r="F63" s="1" t="n">
        <v>0</v>
      </c>
      <c r="G63" s="1" t="n">
        <v>1</v>
      </c>
      <c r="H63" s="1" t="n">
        <v>5</v>
      </c>
      <c r="I63" s="1" t="n">
        <v>8</v>
      </c>
      <c r="J63" s="1" t="n">
        <v>72</v>
      </c>
      <c r="K63" s="1" t="n">
        <v>61.8</v>
      </c>
      <c r="L63" s="1" t="n">
        <v>2</v>
      </c>
      <c r="M63" s="1" t="n">
        <v>12.03</v>
      </c>
      <c r="N63" s="1" t="n">
        <v>0.396776669</v>
      </c>
      <c r="O63" s="1" t="n">
        <v>0.275497765</v>
      </c>
      <c r="P63" s="1" t="n">
        <v>0.698</v>
      </c>
      <c r="Q63" s="1" t="n">
        <v>15</v>
      </c>
      <c r="R63" s="1" t="n">
        <v>15.5</v>
      </c>
      <c r="S63" s="1" t="n">
        <f aca="false">3/7</f>
        <v>0.4285714286</v>
      </c>
      <c r="T63" s="1" t="n">
        <f aca="false">IF(H63+I63=0,0,H63/(I63+H63))</f>
        <v>0.384615384615385</v>
      </c>
      <c r="U63" s="1" t="n">
        <f aca="false">H63+I63</f>
        <v>13</v>
      </c>
    </row>
    <row r="64" customFormat="false" ht="12.75" hidden="false" customHeight="false" outlineLevel="0" collapsed="false">
      <c r="A64" s="1" t="s">
        <v>379</v>
      </c>
      <c r="B64" s="1" t="n">
        <v>1</v>
      </c>
      <c r="D64" s="1" t="n">
        <v>0.8015</v>
      </c>
      <c r="E64" s="1" t="n">
        <v>9</v>
      </c>
      <c r="F64" s="1" t="n">
        <v>0</v>
      </c>
      <c r="G64" s="1" t="n">
        <v>0</v>
      </c>
      <c r="H64" s="1" t="n">
        <v>1</v>
      </c>
      <c r="I64" s="1" t="n">
        <v>2</v>
      </c>
      <c r="J64" s="1" t="n">
        <v>72.5</v>
      </c>
      <c r="K64" s="1" t="n">
        <v>67.6</v>
      </c>
      <c r="L64" s="1" t="n">
        <v>1</v>
      </c>
      <c r="M64" s="1" t="n">
        <v>13.31</v>
      </c>
      <c r="N64" s="1" t="n">
        <v>0.349112426</v>
      </c>
      <c r="O64" s="1" t="n">
        <v>0.319982586</v>
      </c>
      <c r="P64" s="1" t="n">
        <v>0.689</v>
      </c>
      <c r="Q64" s="1" t="n">
        <v>14</v>
      </c>
      <c r="R64" s="1" t="n">
        <v>7.8</v>
      </c>
      <c r="S64" s="1" t="n">
        <f aca="false">7/11</f>
        <v>0.6363636364</v>
      </c>
      <c r="T64" s="1" t="n">
        <f aca="false">IF(H64+I64=0,0,H64/(I64+H64))</f>
        <v>0.333333333333333</v>
      </c>
      <c r="U64" s="1" t="n">
        <f aca="false">H64+I64</f>
        <v>3</v>
      </c>
    </row>
    <row r="65" customFormat="false" ht="12.75" hidden="false" customHeight="false" outlineLevel="0" collapsed="false">
      <c r="A65" s="1" t="s">
        <v>138</v>
      </c>
      <c r="B65" s="1" t="n">
        <v>1</v>
      </c>
      <c r="D65" s="1" t="n">
        <v>0.5873</v>
      </c>
      <c r="E65" s="1" t="n">
        <v>7</v>
      </c>
      <c r="F65" s="1" t="n">
        <v>1</v>
      </c>
      <c r="G65" s="1" t="n">
        <v>1</v>
      </c>
      <c r="H65" s="1" t="n">
        <v>4</v>
      </c>
      <c r="I65" s="1" t="n">
        <v>10</v>
      </c>
      <c r="J65" s="1" t="n">
        <v>63.1</v>
      </c>
      <c r="K65" s="1" t="n">
        <v>59.1</v>
      </c>
      <c r="L65" s="1" t="n">
        <v>3</v>
      </c>
      <c r="M65" s="1" t="n">
        <v>10.13</v>
      </c>
      <c r="N65" s="1" t="n">
        <v>0.316390041</v>
      </c>
      <c r="O65" s="1" t="n">
        <v>0.302104208</v>
      </c>
      <c r="P65" s="1" t="n">
        <v>0.726</v>
      </c>
      <c r="Q65" s="1" t="n">
        <v>18</v>
      </c>
      <c r="R65" s="1" t="n">
        <v>8</v>
      </c>
      <c r="S65" s="1" t="n">
        <f aca="false">7/15</f>
        <v>0.4666666667</v>
      </c>
      <c r="T65" s="1" t="n">
        <f aca="false">IF(H65+I65=0,0,H65/(I65+H65))</f>
        <v>0.285714285714286</v>
      </c>
      <c r="U65" s="1" t="n">
        <f aca="false">H65+I65</f>
        <v>14</v>
      </c>
    </row>
    <row r="66" customFormat="false" ht="12.75" hidden="false" customHeight="false" outlineLevel="0" collapsed="false">
      <c r="A66" s="1" t="s">
        <v>36</v>
      </c>
      <c r="B66" s="1" t="n">
        <v>2</v>
      </c>
      <c r="D66" s="1" t="n">
        <v>0.7929</v>
      </c>
      <c r="E66" s="1" t="n">
        <v>5</v>
      </c>
      <c r="F66" s="1" t="n">
        <v>0</v>
      </c>
      <c r="G66" s="1" t="n">
        <v>0</v>
      </c>
      <c r="H66" s="1" t="n">
        <v>6</v>
      </c>
      <c r="I66" s="1" t="n">
        <v>4</v>
      </c>
      <c r="J66" s="1" t="n">
        <v>71.7</v>
      </c>
      <c r="K66" s="1" t="n">
        <v>61.9</v>
      </c>
      <c r="L66" s="1" t="n">
        <v>3</v>
      </c>
      <c r="M66" s="1" t="n">
        <v>15</v>
      </c>
      <c r="N66" s="1" t="n">
        <v>0.305621536</v>
      </c>
      <c r="O66" s="1" t="n">
        <v>0.284974093</v>
      </c>
      <c r="P66" s="1" t="n">
        <v>0.676</v>
      </c>
      <c r="Q66" s="1" t="n">
        <v>17</v>
      </c>
      <c r="R66" s="1" t="n">
        <v>14.6</v>
      </c>
      <c r="S66" s="1" t="n">
        <f aca="false">1/2</f>
        <v>0.5</v>
      </c>
      <c r="T66" s="1" t="n">
        <f aca="false">IF(H66+I66=0,0,H66/(I66+H66))</f>
        <v>0.6</v>
      </c>
      <c r="U66" s="1" t="n">
        <f aca="false">H66+I66</f>
        <v>10</v>
      </c>
    </row>
    <row r="67" customFormat="false" ht="12.75" hidden="false" customHeight="false" outlineLevel="0" collapsed="false">
      <c r="F67" s="1" t="n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RowHeight="12.75" zeroHeight="false" outlineLevelRow="0" outlineLevelCol="0"/>
  <cols>
    <col collapsed="false" customWidth="true" hidden="false" outlineLevel="0" max="1" min="1" style="0" width="23.57"/>
    <col collapsed="false" customWidth="true" hidden="false" outlineLevel="0" max="20" min="2" style="0" width="17.29"/>
    <col collapsed="false" customWidth="true" hidden="false" outlineLevel="0" max="1025" min="21" style="0" width="14.43"/>
  </cols>
  <sheetData>
    <row r="1" customFormat="false" ht="12.75" hidden="false" customHeight="false" outlineLevel="0" collapsed="false">
      <c r="A1" s="1" t="s">
        <v>2</v>
      </c>
      <c r="B1" s="1" t="s">
        <v>213</v>
      </c>
      <c r="D1" s="1" t="s">
        <v>473</v>
      </c>
      <c r="E1" s="1" t="s">
        <v>498</v>
      </c>
      <c r="F1" s="1" t="s">
        <v>442</v>
      </c>
      <c r="G1" s="1" t="s">
        <v>443</v>
      </c>
      <c r="H1" s="1" t="s">
        <v>444</v>
      </c>
      <c r="I1" s="1" t="s">
        <v>445</v>
      </c>
      <c r="J1" s="1" t="s">
        <v>474</v>
      </c>
      <c r="K1" s="1" t="s">
        <v>475</v>
      </c>
      <c r="L1" s="1" t="s">
        <v>446</v>
      </c>
      <c r="M1" s="1" t="s">
        <v>447</v>
      </c>
      <c r="N1" s="1" t="s">
        <v>448</v>
      </c>
      <c r="O1" s="1" t="s">
        <v>476</v>
      </c>
      <c r="P1" s="1" t="s">
        <v>16</v>
      </c>
      <c r="Q1" s="1" t="s">
        <v>451</v>
      </c>
      <c r="R1" s="1" t="s">
        <v>515</v>
      </c>
      <c r="S1" s="1" t="s">
        <v>453</v>
      </c>
    </row>
    <row r="2" customFormat="false" ht="12.75" hidden="false" customHeight="false" outlineLevel="0" collapsed="false">
      <c r="A2" s="1" t="s">
        <v>316</v>
      </c>
      <c r="B2" s="1" t="n">
        <v>0</v>
      </c>
      <c r="D2" s="1" t="n">
        <v>0.6776</v>
      </c>
      <c r="E2" s="1" t="n">
        <v>9</v>
      </c>
      <c r="F2" s="1" t="n">
        <v>1</v>
      </c>
      <c r="G2" s="1" t="n">
        <v>0</v>
      </c>
      <c r="H2" s="1" t="n">
        <v>1</v>
      </c>
      <c r="I2" s="1" t="n">
        <v>2</v>
      </c>
      <c r="J2" s="1" t="n">
        <v>65.1</v>
      </c>
      <c r="K2" s="1" t="n">
        <v>62.5</v>
      </c>
      <c r="L2" s="1" t="n">
        <v>0</v>
      </c>
      <c r="M2" s="1" t="n">
        <v>13.63</v>
      </c>
      <c r="N2" s="1" t="n">
        <f aca="false">321/1064</f>
        <v>0.3016917293</v>
      </c>
      <c r="O2" s="1" t="n">
        <v>0.359447005</v>
      </c>
      <c r="P2" s="1" t="n">
        <v>0.739</v>
      </c>
      <c r="Q2" s="1" t="n">
        <v>17</v>
      </c>
      <c r="R2" s="1" t="n">
        <v>4.5</v>
      </c>
      <c r="S2" s="1" t="n">
        <v>0.428571429</v>
      </c>
    </row>
    <row r="3" customFormat="false" ht="12.75" hidden="false" customHeight="false" outlineLevel="0" collapsed="false">
      <c r="A3" s="1" t="s">
        <v>26</v>
      </c>
      <c r="B3" s="1" t="n">
        <v>0</v>
      </c>
      <c r="D3" s="1" t="n">
        <v>0.5526</v>
      </c>
      <c r="E3" s="1" t="n">
        <v>4</v>
      </c>
      <c r="F3" s="1" t="n">
        <v>0</v>
      </c>
      <c r="G3" s="1" t="n">
        <v>1</v>
      </c>
      <c r="H3" s="1" t="n">
        <v>6</v>
      </c>
      <c r="I3" s="1" t="n">
        <v>10</v>
      </c>
      <c r="J3" s="1" t="n">
        <v>72.1</v>
      </c>
      <c r="K3" s="1" t="n">
        <v>67</v>
      </c>
      <c r="L3" s="1" t="n">
        <v>3</v>
      </c>
      <c r="M3" s="1" t="n">
        <v>12.18</v>
      </c>
      <c r="N3" s="1" t="n">
        <f aca="false">281/1052</f>
        <v>0.2671102662</v>
      </c>
      <c r="O3" s="1" t="n">
        <v>0.270457698</v>
      </c>
      <c r="P3" s="1" t="n">
        <v>0.749</v>
      </c>
      <c r="Q3" s="1" t="n">
        <v>12</v>
      </c>
      <c r="R3" s="1" t="n">
        <v>7.5</v>
      </c>
      <c r="S3" s="1" t="n">
        <v>0.285714286</v>
      </c>
    </row>
    <row r="4" customFormat="false" ht="12.75" hidden="false" customHeight="false" outlineLevel="0" collapsed="false">
      <c r="A4" s="1" t="s">
        <v>67</v>
      </c>
      <c r="B4" s="1" t="n">
        <v>1</v>
      </c>
      <c r="D4" s="1" t="n">
        <v>0.6614</v>
      </c>
      <c r="E4" s="1" t="n">
        <v>5</v>
      </c>
      <c r="F4" s="1" t="n">
        <v>0</v>
      </c>
      <c r="G4" s="1" t="n">
        <v>1</v>
      </c>
      <c r="H4" s="1" t="n">
        <v>6</v>
      </c>
      <c r="I4" s="1" t="n">
        <v>6</v>
      </c>
      <c r="J4" s="1" t="n">
        <v>73.6</v>
      </c>
      <c r="K4" s="1" t="n">
        <v>68.3</v>
      </c>
      <c r="L4" s="1" t="n">
        <v>2</v>
      </c>
      <c r="M4" s="1" t="n">
        <v>15.45</v>
      </c>
      <c r="N4" s="1" t="n">
        <f aca="false">446/1274</f>
        <v>0.3500784929</v>
      </c>
      <c r="O4" s="1" t="n">
        <v>0.24048913</v>
      </c>
      <c r="P4" s="1" t="n">
        <v>0.678</v>
      </c>
      <c r="Q4" s="1" t="n">
        <v>18</v>
      </c>
      <c r="R4" s="1" t="n">
        <v>8.2</v>
      </c>
      <c r="S4" s="1" t="n">
        <v>0.5</v>
      </c>
    </row>
    <row r="5" customFormat="false" ht="12.75" hidden="false" customHeight="false" outlineLevel="0" collapsed="false">
      <c r="A5" s="1" t="s">
        <v>178</v>
      </c>
      <c r="B5" s="1" t="n">
        <v>0</v>
      </c>
      <c r="D5" s="1" t="n">
        <v>0.7534</v>
      </c>
      <c r="E5" s="1" t="n">
        <v>9</v>
      </c>
      <c r="F5" s="1" t="n">
        <v>1</v>
      </c>
      <c r="G5" s="1" t="n">
        <v>0</v>
      </c>
      <c r="H5" s="1" t="n">
        <v>2</v>
      </c>
      <c r="I5" s="1" t="n">
        <v>2</v>
      </c>
      <c r="J5" s="1" t="n">
        <v>74.6</v>
      </c>
      <c r="K5" s="1" t="n">
        <v>71.2</v>
      </c>
      <c r="L5" s="1" t="n">
        <v>0</v>
      </c>
      <c r="M5" s="1" t="n">
        <v>12.74</v>
      </c>
      <c r="N5" s="1" t="n">
        <f aca="false">347/1092</f>
        <v>0.3177655678</v>
      </c>
      <c r="O5" s="1" t="n">
        <v>0.31769437</v>
      </c>
      <c r="P5" s="1" t="n">
        <v>0.714</v>
      </c>
      <c r="Q5" s="1" t="n">
        <v>21</v>
      </c>
      <c r="R5" s="1" t="n">
        <v>4.7</v>
      </c>
      <c r="S5" s="1" t="n">
        <v>0.666666667</v>
      </c>
    </row>
    <row r="6" customFormat="false" ht="12.75" hidden="false" customHeight="false" outlineLevel="0" collapsed="false">
      <c r="A6" s="1" t="s">
        <v>102</v>
      </c>
      <c r="B6" s="1" t="n">
        <v>0</v>
      </c>
      <c r="D6" s="1" t="n">
        <v>0.6429</v>
      </c>
      <c r="E6" s="1" t="n">
        <v>4</v>
      </c>
      <c r="F6" s="1" t="n">
        <v>0</v>
      </c>
      <c r="G6" s="1" t="n">
        <v>0</v>
      </c>
      <c r="H6" s="1" t="n">
        <v>5</v>
      </c>
      <c r="I6" s="1" t="n">
        <v>8</v>
      </c>
      <c r="J6" s="1" t="n">
        <v>81.4</v>
      </c>
      <c r="K6" s="1" t="n">
        <v>75</v>
      </c>
      <c r="L6" s="1" t="n">
        <v>0</v>
      </c>
      <c r="M6" s="1" t="n">
        <v>12.65</v>
      </c>
      <c r="N6" s="1" t="n">
        <f aca="false">384/1196</f>
        <v>0.3210702341</v>
      </c>
      <c r="O6" s="1" t="n">
        <v>0.316953317</v>
      </c>
      <c r="P6" s="1" t="n">
        <v>0.743</v>
      </c>
      <c r="Q6" s="1" t="n">
        <v>16</v>
      </c>
      <c r="R6" s="1" t="n">
        <v>8.8</v>
      </c>
      <c r="S6" s="1" t="n">
        <v>0.4</v>
      </c>
    </row>
    <row r="7" customFormat="false" ht="12.75" hidden="false" customHeight="false" outlineLevel="0" collapsed="false">
      <c r="A7" s="1" t="s">
        <v>240</v>
      </c>
      <c r="B7" s="1" t="n">
        <v>0</v>
      </c>
      <c r="D7" s="1" t="n">
        <v>0.7867</v>
      </c>
      <c r="E7" s="1" t="n">
        <v>10</v>
      </c>
      <c r="F7" s="1" t="n">
        <v>1</v>
      </c>
      <c r="G7" s="1" t="n">
        <v>0</v>
      </c>
      <c r="H7" s="1" t="n">
        <v>0</v>
      </c>
      <c r="I7" s="1" t="n">
        <v>3</v>
      </c>
      <c r="J7" s="1" t="n">
        <v>80.1</v>
      </c>
      <c r="K7" s="1" t="n">
        <v>75.5</v>
      </c>
      <c r="L7" s="1" t="n">
        <v>2</v>
      </c>
      <c r="M7" s="1" t="n">
        <v>14.67</v>
      </c>
      <c r="N7" s="1" t="n">
        <f aca="false">424/1248</f>
        <v>0.3397435897</v>
      </c>
      <c r="O7" s="1" t="n">
        <v>0.397003745</v>
      </c>
      <c r="P7" s="1" t="n">
        <v>0.698</v>
      </c>
      <c r="Q7" s="1" t="n">
        <v>14</v>
      </c>
      <c r="R7" s="1" t="n">
        <v>8.8</v>
      </c>
      <c r="S7" s="1" t="n">
        <v>0.625</v>
      </c>
    </row>
    <row r="8" customFormat="false" ht="12.75" hidden="false" customHeight="false" outlineLevel="0" collapsed="false">
      <c r="A8" s="1" t="s">
        <v>516</v>
      </c>
      <c r="B8" s="1" t="n">
        <v>0</v>
      </c>
      <c r="D8" s="1" t="n">
        <v>0.7381</v>
      </c>
      <c r="E8" s="1" t="n">
        <v>8</v>
      </c>
      <c r="F8" s="1" t="n">
        <v>1</v>
      </c>
      <c r="G8" s="1" t="n">
        <v>0</v>
      </c>
      <c r="H8" s="1" t="n">
        <v>2</v>
      </c>
      <c r="I8" s="1" t="n">
        <v>2</v>
      </c>
      <c r="J8" s="1" t="n">
        <v>82</v>
      </c>
      <c r="K8" s="1" t="n">
        <v>77</v>
      </c>
      <c r="L8" s="1" t="n">
        <v>0</v>
      </c>
      <c r="M8" s="1" t="n">
        <v>15.61</v>
      </c>
      <c r="N8" s="1" t="n">
        <f aca="false">335/1218</f>
        <v>0.2750410509</v>
      </c>
      <c r="O8" s="1" t="n">
        <v>0.296341463</v>
      </c>
      <c r="P8" s="1" t="n">
        <v>0.661</v>
      </c>
      <c r="Q8" s="1" t="n">
        <v>15</v>
      </c>
      <c r="R8" s="1" t="n">
        <v>7.9</v>
      </c>
      <c r="S8" s="1" t="n">
        <v>0.555555556</v>
      </c>
    </row>
    <row r="9" customFormat="false" ht="12.75" hidden="false" customHeight="false" outlineLevel="0" collapsed="false">
      <c r="A9" s="1" t="s">
        <v>68</v>
      </c>
      <c r="B9" s="1" t="n">
        <v>1</v>
      </c>
      <c r="D9" s="1" t="n">
        <v>0.9145</v>
      </c>
      <c r="E9" s="1" t="n">
        <v>9</v>
      </c>
      <c r="F9" s="1" t="n">
        <v>1</v>
      </c>
      <c r="G9" s="1" t="n">
        <v>0</v>
      </c>
      <c r="H9" s="1" t="n">
        <v>0</v>
      </c>
      <c r="I9" s="1" t="n">
        <v>1</v>
      </c>
      <c r="J9" s="1" t="n">
        <v>68.3</v>
      </c>
      <c r="K9" s="1" t="n">
        <v>58.2</v>
      </c>
      <c r="L9" s="1" t="n">
        <v>1</v>
      </c>
      <c r="M9" s="1" t="n">
        <v>10.25</v>
      </c>
      <c r="N9" s="1" t="n">
        <f aca="false">308/1016</f>
        <v>0.3031496063</v>
      </c>
      <c r="O9" s="1" t="n">
        <v>0.404099561</v>
      </c>
      <c r="P9" s="1" t="n">
        <v>0.737</v>
      </c>
      <c r="Q9" s="1" t="n">
        <v>21</v>
      </c>
      <c r="R9" s="1" t="n">
        <v>17.1</v>
      </c>
      <c r="S9" s="1" t="n">
        <v>0.666666667</v>
      </c>
    </row>
    <row r="10" customFormat="false" ht="12.75" hidden="false" customHeight="false" outlineLevel="0" collapsed="false">
      <c r="A10" s="1" t="s">
        <v>242</v>
      </c>
      <c r="B10" s="1" t="n">
        <v>0</v>
      </c>
      <c r="D10" s="1" t="n">
        <v>0.8264</v>
      </c>
      <c r="E10" s="1" t="n">
        <v>8</v>
      </c>
      <c r="F10" s="1" t="n">
        <v>0</v>
      </c>
      <c r="G10" s="1" t="n">
        <v>0</v>
      </c>
      <c r="H10" s="1" t="n">
        <v>3</v>
      </c>
      <c r="I10" s="1" t="n">
        <v>5</v>
      </c>
      <c r="J10" s="1" t="n">
        <v>74.1</v>
      </c>
      <c r="K10" s="1" t="n">
        <v>63.2</v>
      </c>
      <c r="L10" s="1" t="n">
        <v>1</v>
      </c>
      <c r="M10" s="1" t="n">
        <v>14.26</v>
      </c>
      <c r="N10" s="1" t="n">
        <f aca="false">365/1351</f>
        <v>0.2701702443</v>
      </c>
      <c r="O10" s="1" t="n">
        <v>0.331983806</v>
      </c>
      <c r="P10" s="1" t="n">
        <v>0.655</v>
      </c>
      <c r="Q10" s="1" t="n">
        <v>15</v>
      </c>
      <c r="R10" s="1" t="n">
        <v>15</v>
      </c>
      <c r="S10" s="1" t="n">
        <v>0.571428571</v>
      </c>
    </row>
    <row r="11" customFormat="false" ht="12.75" hidden="false" customHeight="false" outlineLevel="0" collapsed="false">
      <c r="A11" s="1" t="s">
        <v>75</v>
      </c>
      <c r="B11" s="1" t="n">
        <v>0</v>
      </c>
      <c r="D11" s="1" t="n">
        <v>0.7174</v>
      </c>
      <c r="E11" s="1" t="n">
        <v>7</v>
      </c>
      <c r="F11" s="1" t="n">
        <v>0</v>
      </c>
      <c r="G11" s="1" t="n">
        <v>1</v>
      </c>
      <c r="H11" s="1" t="n">
        <v>4</v>
      </c>
      <c r="I11" s="1" t="n">
        <v>5</v>
      </c>
      <c r="J11" s="1" t="n">
        <v>79.5</v>
      </c>
      <c r="K11" s="1" t="n">
        <v>70.1</v>
      </c>
      <c r="L11" s="1" t="n">
        <v>0</v>
      </c>
      <c r="M11" s="1" t="n">
        <v>14.88</v>
      </c>
      <c r="N11" s="1" t="n">
        <f aca="false">536/1305</f>
        <v>0.4107279693</v>
      </c>
      <c r="O11" s="1" t="n">
        <v>0.298113208</v>
      </c>
      <c r="P11" s="1" t="n">
        <v>0.623</v>
      </c>
      <c r="Q11" s="1" t="n">
        <v>15</v>
      </c>
      <c r="R11" s="1" t="n">
        <v>13</v>
      </c>
      <c r="S11" s="1" t="n">
        <v>0.5</v>
      </c>
    </row>
    <row r="12" customFormat="false" ht="12.75" hidden="false" customHeight="false" outlineLevel="0" collapsed="false">
      <c r="A12" s="1" t="s">
        <v>182</v>
      </c>
      <c r="B12" s="1" t="n">
        <v>0</v>
      </c>
      <c r="D12" s="1" t="n">
        <v>0.75</v>
      </c>
      <c r="E12" s="1" t="n">
        <v>7</v>
      </c>
      <c r="F12" s="1" t="n">
        <v>0</v>
      </c>
      <c r="G12" s="1" t="n">
        <v>1</v>
      </c>
      <c r="H12" s="1" t="n">
        <v>6</v>
      </c>
      <c r="I12" s="1" t="n">
        <v>6</v>
      </c>
      <c r="J12" s="1" t="n">
        <v>77.7</v>
      </c>
      <c r="K12" s="1" t="n">
        <v>68.7</v>
      </c>
      <c r="L12" s="1" t="n">
        <v>2</v>
      </c>
      <c r="M12" s="1" t="n">
        <v>13.63</v>
      </c>
      <c r="N12" s="1" t="n">
        <f aca="false">449/1382</f>
        <v>0.3248914616</v>
      </c>
      <c r="O12" s="1" t="n">
        <v>0.200772201</v>
      </c>
      <c r="P12" s="1" t="n">
        <v>0.72</v>
      </c>
      <c r="Q12" s="1" t="n">
        <v>14</v>
      </c>
      <c r="R12" s="1" t="n">
        <v>12.5</v>
      </c>
      <c r="S12" s="1" t="n">
        <v>0.666666667</v>
      </c>
    </row>
    <row r="13" customFormat="false" ht="12.75" hidden="false" customHeight="false" outlineLevel="0" collapsed="false">
      <c r="A13" s="1" t="s">
        <v>517</v>
      </c>
      <c r="B13" s="1" t="n">
        <v>0</v>
      </c>
      <c r="D13" s="1" t="n">
        <v>0.4533</v>
      </c>
      <c r="E13" s="1" t="n">
        <v>9</v>
      </c>
      <c r="F13" s="1" t="n">
        <v>1</v>
      </c>
      <c r="G13" s="1" t="n">
        <v>0</v>
      </c>
      <c r="H13" s="1" t="n">
        <v>0</v>
      </c>
      <c r="I13" s="1" t="n">
        <v>4</v>
      </c>
      <c r="J13" s="1" t="n">
        <v>59.8</v>
      </c>
      <c r="K13" s="1" t="n">
        <v>67</v>
      </c>
      <c r="L13" s="1" t="n">
        <v>0</v>
      </c>
      <c r="M13" s="1" t="n">
        <v>14.67</v>
      </c>
      <c r="N13" s="1" t="n">
        <f aca="false">409/1158</f>
        <v>0.3531951641</v>
      </c>
      <c r="O13" s="1" t="n">
        <v>0.200668896</v>
      </c>
      <c r="P13" s="1" t="n">
        <v>0.714</v>
      </c>
      <c r="Q13" s="1" t="n">
        <v>15</v>
      </c>
      <c r="R13" s="1" t="n">
        <v>-9.5</v>
      </c>
      <c r="S13" s="1" t="n">
        <v>0.533333333</v>
      </c>
    </row>
    <row r="14" customFormat="false" ht="12.75" hidden="false" customHeight="false" outlineLevel="0" collapsed="false">
      <c r="A14" s="1" t="s">
        <v>479</v>
      </c>
      <c r="B14" s="1" t="n">
        <v>0</v>
      </c>
      <c r="D14" s="1" t="n">
        <v>0.8443</v>
      </c>
      <c r="E14" s="1" t="n">
        <v>10</v>
      </c>
      <c r="F14" s="1" t="n">
        <v>1</v>
      </c>
      <c r="G14" s="1" t="n">
        <v>0</v>
      </c>
      <c r="H14" s="1" t="n">
        <v>1</v>
      </c>
      <c r="I14" s="1" t="n">
        <v>1</v>
      </c>
      <c r="J14" s="1" t="n">
        <v>77.1</v>
      </c>
      <c r="K14" s="1" t="n">
        <v>70.7</v>
      </c>
      <c r="L14" s="1" t="n">
        <v>0</v>
      </c>
      <c r="M14" s="1" t="n">
        <v>13.7</v>
      </c>
      <c r="N14" s="1" t="n">
        <f aca="false">258/939</f>
        <v>0.2747603834</v>
      </c>
      <c r="O14" s="1" t="n">
        <v>0.315175097</v>
      </c>
      <c r="P14" s="1" t="n">
        <v>0.761</v>
      </c>
      <c r="Q14" s="1" t="n">
        <v>12</v>
      </c>
      <c r="R14" s="1" t="n">
        <v>11.3</v>
      </c>
      <c r="S14" s="1" t="n">
        <v>0.833333333</v>
      </c>
    </row>
    <row r="15" customFormat="false" ht="12.75" hidden="false" customHeight="false" outlineLevel="0" collapsed="false">
      <c r="A15" s="1" t="s">
        <v>70</v>
      </c>
      <c r="B15" s="1" t="n">
        <v>0</v>
      </c>
      <c r="D15" s="1" t="n">
        <v>0.7584</v>
      </c>
      <c r="E15" s="1" t="n">
        <v>9</v>
      </c>
      <c r="F15" s="1" t="n">
        <v>1</v>
      </c>
      <c r="G15" s="1" t="n">
        <v>0</v>
      </c>
      <c r="H15" s="1" t="n">
        <v>1</v>
      </c>
      <c r="I15" s="1" t="n">
        <v>2</v>
      </c>
      <c r="J15" s="1" t="n">
        <v>82.6</v>
      </c>
      <c r="K15" s="1" t="n">
        <v>72.5</v>
      </c>
      <c r="L15" s="1" t="n">
        <v>0</v>
      </c>
      <c r="M15" s="1" t="n">
        <v>13.47</v>
      </c>
      <c r="N15" s="1" t="n">
        <f aca="false">391/1182</f>
        <v>0.3307952623</v>
      </c>
      <c r="O15" s="1" t="n">
        <v>0.31598063</v>
      </c>
      <c r="P15" s="1" t="n">
        <v>0.702</v>
      </c>
      <c r="Q15" s="1" t="n">
        <v>17</v>
      </c>
      <c r="R15" s="1" t="n">
        <v>4.6</v>
      </c>
      <c r="S15" s="1" t="n">
        <v>0.333333333</v>
      </c>
    </row>
    <row r="16" customFormat="false" ht="12.75" hidden="false" customHeight="false" outlineLevel="0" collapsed="false">
      <c r="A16" s="1" t="s">
        <v>25</v>
      </c>
      <c r="B16" s="1" t="n">
        <v>3</v>
      </c>
      <c r="D16" s="1" t="n">
        <v>0.817</v>
      </c>
      <c r="E16" s="1" t="n">
        <v>10</v>
      </c>
      <c r="F16" s="1" t="n">
        <v>1</v>
      </c>
      <c r="G16" s="1" t="n">
        <v>0</v>
      </c>
      <c r="H16" s="1" t="n">
        <v>1</v>
      </c>
      <c r="I16" s="1" t="n">
        <v>3</v>
      </c>
      <c r="J16" s="1" t="n">
        <v>78.7</v>
      </c>
      <c r="K16" s="1" t="n">
        <v>63.8</v>
      </c>
      <c r="L16" s="1" t="n">
        <v>2</v>
      </c>
      <c r="M16" s="1" t="n">
        <v>12.22</v>
      </c>
      <c r="N16" s="1" t="n">
        <f aca="false">417/1302</f>
        <v>0.3202764977</v>
      </c>
      <c r="O16" s="1" t="n">
        <v>0.346886912</v>
      </c>
      <c r="P16" s="1" t="n">
        <v>0.717</v>
      </c>
      <c r="Q16" s="1" t="n">
        <v>20</v>
      </c>
      <c r="R16" s="1" t="n">
        <v>21.4</v>
      </c>
      <c r="S16" s="1" t="n">
        <v>0.5</v>
      </c>
    </row>
    <row r="17" customFormat="false" ht="12.75" hidden="false" customHeight="false" outlineLevel="0" collapsed="false">
      <c r="A17" s="1" t="s">
        <v>518</v>
      </c>
      <c r="B17" s="1" t="n">
        <v>0</v>
      </c>
      <c r="D17" s="1" t="n">
        <v>0.8857</v>
      </c>
      <c r="E17" s="1" t="n">
        <v>7</v>
      </c>
      <c r="F17" s="1" t="n">
        <v>1</v>
      </c>
      <c r="G17" s="1" t="n">
        <v>0</v>
      </c>
      <c r="H17" s="1" t="n">
        <v>1</v>
      </c>
      <c r="I17" s="1" t="n">
        <v>1</v>
      </c>
      <c r="J17" s="1" t="n">
        <v>73.2</v>
      </c>
      <c r="K17" s="1" t="n">
        <v>62.8</v>
      </c>
      <c r="L17" s="1" t="n">
        <v>0</v>
      </c>
      <c r="M17" s="1" t="n">
        <v>11.72</v>
      </c>
      <c r="N17" s="1" t="n">
        <f aca="false">221/939</f>
        <v>0.2353567625</v>
      </c>
      <c r="O17" s="1" t="n">
        <v>0.37704918</v>
      </c>
      <c r="P17" s="1" t="n">
        <v>0.759</v>
      </c>
      <c r="Q17" s="1" t="n">
        <v>21</v>
      </c>
      <c r="R17" s="1" t="n">
        <v>18.4</v>
      </c>
      <c r="S17" s="1" t="n">
        <v>0.555555556</v>
      </c>
    </row>
    <row r="18" customFormat="false" ht="12.75" hidden="false" customHeight="false" outlineLevel="0" collapsed="false">
      <c r="A18" s="1" t="s">
        <v>86</v>
      </c>
      <c r="B18" s="1" t="n">
        <v>1</v>
      </c>
      <c r="D18" s="1" t="n">
        <v>0.8403</v>
      </c>
      <c r="E18" s="1" t="n">
        <v>6</v>
      </c>
      <c r="F18" s="1" t="n">
        <v>0</v>
      </c>
      <c r="G18" s="1" t="n">
        <v>1</v>
      </c>
      <c r="H18" s="1" t="n">
        <v>8</v>
      </c>
      <c r="I18" s="1" t="n">
        <v>4</v>
      </c>
      <c r="J18" s="1" t="n">
        <v>84.1</v>
      </c>
      <c r="K18" s="1" t="n">
        <v>69.8</v>
      </c>
      <c r="L18" s="1" t="n">
        <v>3</v>
      </c>
      <c r="M18" s="1" t="n">
        <v>13.56</v>
      </c>
      <c r="N18" s="1" t="n">
        <f aca="false">461/1220</f>
        <v>0.3778688525</v>
      </c>
      <c r="O18" s="1" t="n">
        <v>0.331747919</v>
      </c>
      <c r="P18" s="1" t="n">
        <v>0.697</v>
      </c>
      <c r="Q18" s="1" t="n">
        <v>14</v>
      </c>
      <c r="R18" s="1" t="n">
        <v>18.5</v>
      </c>
      <c r="S18" s="1" t="n">
        <v>0.6</v>
      </c>
    </row>
    <row r="19" customFormat="false" ht="12.75" hidden="false" customHeight="false" outlineLevel="0" collapsed="false">
      <c r="A19" s="1" t="s">
        <v>457</v>
      </c>
      <c r="B19" s="1" t="n">
        <v>0</v>
      </c>
      <c r="D19" s="1" t="n">
        <v>0.7226</v>
      </c>
      <c r="E19" s="1" t="n">
        <v>6</v>
      </c>
      <c r="F19" s="1" t="n">
        <v>0</v>
      </c>
      <c r="G19" s="1" t="n">
        <v>0</v>
      </c>
      <c r="H19" s="1" t="n">
        <v>1</v>
      </c>
      <c r="I19" s="1" t="n">
        <v>2</v>
      </c>
      <c r="J19" s="1" t="n">
        <v>69.9</v>
      </c>
      <c r="K19" s="1" t="n">
        <v>62.5</v>
      </c>
      <c r="L19" s="1" t="n">
        <v>1</v>
      </c>
      <c r="M19" s="1" t="n">
        <v>11.97</v>
      </c>
      <c r="N19" s="1" t="n">
        <f aca="false">340/1120</f>
        <v>0.3035714286</v>
      </c>
      <c r="O19" s="1" t="n">
        <v>0.261802575</v>
      </c>
      <c r="P19" s="1" t="n">
        <v>0.703</v>
      </c>
      <c r="Q19" s="1" t="n">
        <v>16</v>
      </c>
      <c r="R19" s="1" t="n">
        <v>10.7</v>
      </c>
      <c r="S19" s="1" t="n">
        <v>0.285714286</v>
      </c>
    </row>
    <row r="20" customFormat="false" ht="12.75" hidden="false" customHeight="false" outlineLevel="0" collapsed="false">
      <c r="A20" s="1" t="s">
        <v>246</v>
      </c>
      <c r="B20" s="1" t="n">
        <v>1</v>
      </c>
      <c r="D20" s="1" t="n">
        <v>0.875</v>
      </c>
      <c r="E20" s="1" t="n">
        <v>8</v>
      </c>
      <c r="F20" s="1" t="n">
        <v>0</v>
      </c>
      <c r="G20" s="1" t="n">
        <v>1</v>
      </c>
      <c r="H20" s="1" t="n">
        <v>9</v>
      </c>
      <c r="I20" s="1" t="n">
        <v>4</v>
      </c>
      <c r="J20" s="1" t="n">
        <v>69.7</v>
      </c>
      <c r="K20" s="1" t="n">
        <v>58.1</v>
      </c>
      <c r="L20" s="1" t="n">
        <v>2</v>
      </c>
      <c r="M20" s="1" t="n">
        <v>13.22</v>
      </c>
      <c r="N20" s="1" t="n">
        <f aca="false">278/967</f>
        <v>0.2874870734</v>
      </c>
      <c r="O20" s="1" t="n">
        <v>0.335724534</v>
      </c>
      <c r="P20" s="1" t="n">
        <v>0.654</v>
      </c>
      <c r="Q20" s="1" t="n">
        <v>18</v>
      </c>
      <c r="R20" s="1" t="n">
        <v>18.2</v>
      </c>
      <c r="S20" s="1" t="n">
        <v>0.857142857</v>
      </c>
    </row>
    <row r="21" customFormat="false" ht="12.75" hidden="false" customHeight="false" outlineLevel="0" collapsed="false">
      <c r="A21" s="1" t="s">
        <v>247</v>
      </c>
      <c r="B21" s="1" t="n">
        <v>0</v>
      </c>
      <c r="D21" s="1" t="n">
        <v>0.4638</v>
      </c>
      <c r="E21" s="1" t="n">
        <v>5</v>
      </c>
      <c r="F21" s="1" t="n">
        <v>1</v>
      </c>
      <c r="G21" s="1" t="n">
        <v>1</v>
      </c>
      <c r="H21" s="1" t="n">
        <v>4</v>
      </c>
      <c r="I21" s="1" t="n">
        <v>9</v>
      </c>
      <c r="J21" s="1" t="n">
        <v>68.3</v>
      </c>
      <c r="K21" s="1" t="n">
        <v>67.4</v>
      </c>
      <c r="L21" s="1" t="n">
        <v>0</v>
      </c>
      <c r="M21" s="1" t="n">
        <v>14.91</v>
      </c>
      <c r="N21" s="1" t="n">
        <f aca="false">451/1295</f>
        <v>0.3482625483</v>
      </c>
      <c r="O21" s="1" t="n">
        <v>0.263543192</v>
      </c>
      <c r="P21" s="1" t="n">
        <v>0.679</v>
      </c>
      <c r="Q21" s="1" t="n">
        <v>17</v>
      </c>
      <c r="R21" s="1" t="n">
        <v>1</v>
      </c>
      <c r="S21" s="1" t="n">
        <v>0.571428571</v>
      </c>
    </row>
    <row r="22" customFormat="false" ht="12.75" hidden="false" customHeight="false" outlineLevel="0" collapsed="false">
      <c r="A22" s="1" t="s">
        <v>43</v>
      </c>
      <c r="B22" s="1" t="n">
        <v>0</v>
      </c>
      <c r="D22" s="1" t="n">
        <v>0.7847</v>
      </c>
      <c r="E22" s="1" t="n">
        <v>8</v>
      </c>
      <c r="F22" s="1" t="n">
        <v>0</v>
      </c>
      <c r="G22" s="1" t="n">
        <v>0</v>
      </c>
      <c r="H22" s="1" t="n">
        <v>7</v>
      </c>
      <c r="I22" s="1" t="n">
        <v>6</v>
      </c>
      <c r="J22" s="1" t="n">
        <v>76.5</v>
      </c>
      <c r="K22" s="1" t="n">
        <v>63.8</v>
      </c>
      <c r="L22" s="1" t="n">
        <v>3</v>
      </c>
      <c r="M22" s="1" t="n">
        <v>14.19</v>
      </c>
      <c r="N22" s="1" t="n">
        <f aca="false">369/1235</f>
        <v>0.2987854251</v>
      </c>
      <c r="O22" s="1" t="n">
        <v>0.254901961</v>
      </c>
      <c r="P22" s="1" t="n">
        <v>0.712</v>
      </c>
      <c r="Q22" s="1" t="n">
        <v>16</v>
      </c>
      <c r="R22" s="1" t="n">
        <v>18.2</v>
      </c>
      <c r="S22" s="1" t="n">
        <v>0.7</v>
      </c>
    </row>
    <row r="23" customFormat="false" ht="12.75" hidden="false" customHeight="false" outlineLevel="0" collapsed="false">
      <c r="A23" s="1" t="s">
        <v>190</v>
      </c>
      <c r="B23" s="1" t="n">
        <v>0</v>
      </c>
      <c r="D23" s="1" t="n">
        <v>0.7609</v>
      </c>
      <c r="E23" s="1" t="n">
        <v>6</v>
      </c>
      <c r="F23" s="1" t="n">
        <v>0</v>
      </c>
      <c r="G23" s="1" t="n">
        <v>1</v>
      </c>
      <c r="H23" s="1" t="n">
        <v>4</v>
      </c>
      <c r="I23" s="1" t="n">
        <v>5</v>
      </c>
      <c r="J23" s="1" t="n">
        <v>75.1</v>
      </c>
      <c r="K23" s="1" t="n">
        <v>65.3</v>
      </c>
      <c r="L23" s="1" t="n">
        <v>2</v>
      </c>
      <c r="M23" s="1" t="n">
        <v>13.72</v>
      </c>
      <c r="N23" s="1" t="n">
        <f aca="false">381/1056</f>
        <v>0.3607954545</v>
      </c>
      <c r="O23" s="1" t="n">
        <v>0.263648469</v>
      </c>
      <c r="P23" s="1" t="n">
        <v>0.759</v>
      </c>
      <c r="Q23" s="1" t="n">
        <v>12</v>
      </c>
      <c r="R23" s="1" t="n">
        <v>14.2</v>
      </c>
      <c r="S23" s="1" t="n">
        <v>0.6</v>
      </c>
    </row>
    <row r="24" customFormat="false" ht="12.75" hidden="false" customHeight="false" outlineLevel="0" collapsed="false">
      <c r="A24" s="1" t="s">
        <v>71</v>
      </c>
      <c r="B24" s="1" t="n">
        <v>6</v>
      </c>
      <c r="D24" s="1" t="n">
        <v>0.9343</v>
      </c>
      <c r="E24" s="1" t="n">
        <v>8</v>
      </c>
      <c r="F24" s="1" t="n">
        <v>1</v>
      </c>
      <c r="G24" s="1" t="n">
        <v>0</v>
      </c>
      <c r="H24" s="1" t="n">
        <v>8</v>
      </c>
      <c r="I24" s="1" t="n">
        <v>2</v>
      </c>
      <c r="J24" s="1" t="n">
        <v>81.5</v>
      </c>
      <c r="K24" s="1" t="n">
        <v>61.5</v>
      </c>
      <c r="L24" s="1" t="n">
        <v>3</v>
      </c>
      <c r="M24" s="1" t="n">
        <v>12.94</v>
      </c>
      <c r="N24" s="1" t="n">
        <f aca="false">410/1258</f>
        <v>0.3259141494</v>
      </c>
      <c r="O24" s="1" t="n">
        <v>0.25398773</v>
      </c>
      <c r="P24" s="1" t="n">
        <v>0.702</v>
      </c>
      <c r="Q24" s="1" t="n">
        <v>18</v>
      </c>
      <c r="R24" s="1" t="n">
        <v>27.5</v>
      </c>
      <c r="S24" s="1" t="n">
        <v>0.714285714</v>
      </c>
    </row>
    <row r="25" customFormat="false" ht="12.75" hidden="false" customHeight="false" outlineLevel="0" collapsed="false">
      <c r="A25" s="1" t="s">
        <v>23</v>
      </c>
      <c r="B25" s="1" t="n">
        <v>1</v>
      </c>
      <c r="D25" s="1" t="n">
        <v>0.5984</v>
      </c>
      <c r="E25" s="1" t="n">
        <v>4</v>
      </c>
      <c r="F25" s="1" t="n">
        <v>0</v>
      </c>
      <c r="G25" s="1" t="n">
        <v>0</v>
      </c>
      <c r="H25" s="1" t="n">
        <v>3</v>
      </c>
      <c r="I25" s="1" t="n">
        <v>8</v>
      </c>
      <c r="J25" s="1" t="n">
        <v>78.7</v>
      </c>
      <c r="K25" s="1" t="n">
        <v>69.7</v>
      </c>
      <c r="L25" s="1" t="n">
        <v>0</v>
      </c>
      <c r="M25" s="1" t="n">
        <v>15.32</v>
      </c>
      <c r="N25" s="1" t="n">
        <f aca="false">539/1362</f>
        <v>0.3957415565</v>
      </c>
      <c r="O25" s="1" t="n">
        <v>0.247776366</v>
      </c>
      <c r="P25" s="1" t="n">
        <v>0.687</v>
      </c>
      <c r="Q25" s="1" t="n">
        <v>12</v>
      </c>
      <c r="R25" s="1" t="n">
        <v>12.6</v>
      </c>
      <c r="S25" s="1" t="n">
        <v>0.5</v>
      </c>
    </row>
    <row r="26" customFormat="false" ht="12.75" hidden="false" customHeight="false" outlineLevel="0" collapsed="false">
      <c r="A26" s="1" t="s">
        <v>108</v>
      </c>
      <c r="B26" s="1" t="n">
        <v>0</v>
      </c>
      <c r="D26" s="1" t="n">
        <v>0.8611</v>
      </c>
      <c r="E26" s="1" t="n">
        <v>9</v>
      </c>
      <c r="F26" s="1" t="n">
        <v>1</v>
      </c>
      <c r="G26" s="1" t="n">
        <v>0</v>
      </c>
      <c r="H26" s="1" t="n">
        <v>3</v>
      </c>
      <c r="I26" s="1" t="n">
        <v>2</v>
      </c>
      <c r="J26" s="1" t="n">
        <v>69.2</v>
      </c>
      <c r="K26" s="1" t="n">
        <v>61.9</v>
      </c>
      <c r="L26" s="1" t="n">
        <v>1</v>
      </c>
      <c r="M26" s="1" t="n">
        <v>14.59</v>
      </c>
      <c r="N26" s="1" t="n">
        <f aca="false">385/1166</f>
        <v>0.3301886792</v>
      </c>
      <c r="O26" s="1" t="n">
        <v>0.251445087</v>
      </c>
      <c r="P26" s="1" t="n">
        <v>0.714</v>
      </c>
      <c r="Q26" s="1" t="n">
        <v>17</v>
      </c>
      <c r="R26" s="1" t="n">
        <v>10.7</v>
      </c>
      <c r="S26" s="1" t="n">
        <v>0.625</v>
      </c>
    </row>
    <row r="27" customFormat="false" ht="12.75" hidden="false" customHeight="false" outlineLevel="0" collapsed="false">
      <c r="A27" s="1" t="s">
        <v>24</v>
      </c>
      <c r="B27" s="1" t="n">
        <v>0</v>
      </c>
      <c r="D27" s="1" t="n">
        <v>0.5556</v>
      </c>
      <c r="E27" s="1" t="n">
        <v>7</v>
      </c>
      <c r="F27" s="1" t="n">
        <v>0</v>
      </c>
      <c r="G27" s="1" t="n">
        <v>1</v>
      </c>
      <c r="H27" s="1" t="n">
        <v>5</v>
      </c>
      <c r="I27" s="1" t="n">
        <v>8</v>
      </c>
      <c r="J27" s="1" t="n">
        <v>68.6</v>
      </c>
      <c r="K27" s="1" t="n">
        <v>66.5</v>
      </c>
      <c r="L27" s="1" t="n">
        <v>3</v>
      </c>
      <c r="M27" s="1" t="n">
        <v>15.93</v>
      </c>
      <c r="N27" s="1" t="n">
        <f aca="false">301/1038</f>
        <v>0.2899807322</v>
      </c>
      <c r="O27" s="1" t="n">
        <v>0.253644315</v>
      </c>
      <c r="P27" s="1" t="n">
        <v>0.733</v>
      </c>
      <c r="Q27" s="1" t="n">
        <v>15</v>
      </c>
      <c r="R27" s="1" t="n">
        <v>4.4</v>
      </c>
      <c r="S27" s="1" t="n">
        <v>0.555555556</v>
      </c>
    </row>
    <row r="28" customFormat="false" ht="12.75" hidden="false" customHeight="false" outlineLevel="0" collapsed="false">
      <c r="A28" s="1" t="s">
        <v>109</v>
      </c>
      <c r="B28" s="1" t="n">
        <v>3</v>
      </c>
      <c r="D28" s="1" t="n">
        <v>0.7361</v>
      </c>
      <c r="E28" s="1" t="n">
        <v>8</v>
      </c>
      <c r="F28" s="1" t="n">
        <v>0</v>
      </c>
      <c r="G28" s="1" t="n">
        <v>1</v>
      </c>
      <c r="H28" s="1" t="n">
        <v>9</v>
      </c>
      <c r="I28" s="1" t="n">
        <v>5</v>
      </c>
      <c r="J28" s="1" t="n">
        <v>71.9</v>
      </c>
      <c r="K28" s="1" t="n">
        <v>61.5</v>
      </c>
      <c r="L28" s="1" t="n">
        <v>2</v>
      </c>
      <c r="M28" s="1" t="n">
        <v>13.25</v>
      </c>
      <c r="N28" s="1" t="n">
        <f aca="false">413/1338</f>
        <v>0.3086696562</v>
      </c>
      <c r="O28" s="1" t="n">
        <v>0.312934631</v>
      </c>
      <c r="P28" s="1" t="n">
        <v>0.647</v>
      </c>
      <c r="Q28" s="1" t="n">
        <v>16</v>
      </c>
      <c r="R28" s="1" t="n">
        <v>16.3</v>
      </c>
      <c r="S28" s="1" t="n">
        <v>0.4</v>
      </c>
    </row>
    <row r="29" customFormat="false" ht="12.75" hidden="false" customHeight="false" outlineLevel="0" collapsed="false">
      <c r="A29" s="1" t="s">
        <v>110</v>
      </c>
      <c r="B29" s="1" t="n">
        <v>1</v>
      </c>
      <c r="D29" s="1" t="n">
        <v>0.709</v>
      </c>
      <c r="E29" s="1" t="n">
        <v>7</v>
      </c>
      <c r="F29" s="1" t="n">
        <v>0</v>
      </c>
      <c r="G29" s="1" t="n">
        <v>1</v>
      </c>
      <c r="H29" s="1" t="n">
        <v>6</v>
      </c>
      <c r="I29" s="1" t="n">
        <v>8</v>
      </c>
      <c r="J29" s="1" t="n">
        <v>75.8</v>
      </c>
      <c r="K29" s="1" t="n">
        <v>66.1</v>
      </c>
      <c r="L29" s="1" t="n">
        <v>2</v>
      </c>
      <c r="M29" s="1" t="n">
        <v>13.18</v>
      </c>
      <c r="N29" s="1" t="n">
        <f aca="false">474/1287</f>
        <v>0.3682983683</v>
      </c>
      <c r="O29" s="1" t="n">
        <v>0.277044855</v>
      </c>
      <c r="P29" s="1" t="n">
        <v>0.706</v>
      </c>
      <c r="Q29" s="1" t="n">
        <v>17</v>
      </c>
      <c r="R29" s="1" t="n">
        <v>16</v>
      </c>
      <c r="S29" s="1" t="n">
        <v>0.333333333</v>
      </c>
    </row>
    <row r="30" customFormat="false" ht="12.75" hidden="false" customHeight="false" outlineLevel="0" collapsed="false">
      <c r="A30" s="1" t="s">
        <v>325</v>
      </c>
      <c r="B30" s="1" t="n">
        <v>5</v>
      </c>
      <c r="D30" s="1" t="n">
        <v>0.9539</v>
      </c>
      <c r="E30" s="1" t="n">
        <v>9</v>
      </c>
      <c r="F30" s="1" t="n">
        <v>1</v>
      </c>
      <c r="G30" s="1" t="n">
        <v>0</v>
      </c>
      <c r="H30" s="1" t="n">
        <v>8</v>
      </c>
      <c r="I30" s="1" t="n">
        <v>1</v>
      </c>
      <c r="J30" s="1" t="n">
        <v>79.7</v>
      </c>
      <c r="K30" s="1" t="n">
        <v>61.9</v>
      </c>
      <c r="L30" s="1" t="n">
        <v>2</v>
      </c>
      <c r="M30" s="1" t="n">
        <v>12.21</v>
      </c>
      <c r="N30" s="1" t="n">
        <f aca="false">335/1007</f>
        <v>0.3326713009</v>
      </c>
      <c r="O30" s="1" t="n">
        <v>0.297365119</v>
      </c>
      <c r="P30" s="1" t="n">
        <v>0.614</v>
      </c>
      <c r="Q30" s="1" t="n">
        <v>16</v>
      </c>
      <c r="R30" s="1" t="n">
        <v>25.4</v>
      </c>
      <c r="S30" s="1" t="n">
        <v>0.75</v>
      </c>
    </row>
    <row r="31" customFormat="false" ht="12.75" hidden="false" customHeight="false" outlineLevel="0" collapsed="false">
      <c r="A31" s="1" t="s">
        <v>193</v>
      </c>
      <c r="B31" s="1" t="n">
        <v>1</v>
      </c>
      <c r="D31" s="1" t="n">
        <v>0.6744</v>
      </c>
      <c r="E31" s="1" t="n">
        <v>7</v>
      </c>
      <c r="F31" s="1" t="n">
        <v>0</v>
      </c>
      <c r="G31" s="1" t="n">
        <v>1</v>
      </c>
      <c r="H31" s="1" t="n">
        <v>3</v>
      </c>
      <c r="I31" s="1" t="n">
        <v>4</v>
      </c>
      <c r="J31" s="1" t="n">
        <v>74.8</v>
      </c>
      <c r="K31" s="1" t="n">
        <v>68.3</v>
      </c>
      <c r="L31" s="1" t="n">
        <v>0</v>
      </c>
      <c r="M31" s="1" t="n">
        <v>13.41</v>
      </c>
      <c r="N31" s="1" t="n">
        <f aca="false">433/1293</f>
        <v>0.3348801237</v>
      </c>
      <c r="O31" s="1" t="n">
        <v>0.276737968</v>
      </c>
      <c r="P31" s="1" t="n">
        <v>0.747</v>
      </c>
      <c r="Q31" s="1" t="n">
        <v>17</v>
      </c>
      <c r="R31" s="1" t="n">
        <v>9.8</v>
      </c>
      <c r="S31" s="1" t="n">
        <v>0.5</v>
      </c>
    </row>
    <row r="32" customFormat="false" ht="12.75" hidden="false" customHeight="false" outlineLevel="0" collapsed="false">
      <c r="A32" s="1" t="s">
        <v>113</v>
      </c>
      <c r="B32" s="1" t="n">
        <v>2</v>
      </c>
      <c r="D32" s="1" t="n">
        <v>0.7795</v>
      </c>
      <c r="E32" s="1" t="n">
        <v>5</v>
      </c>
      <c r="F32" s="1" t="n">
        <v>0</v>
      </c>
      <c r="G32" s="1" t="n">
        <v>1</v>
      </c>
      <c r="H32" s="1" t="n">
        <v>4</v>
      </c>
      <c r="I32" s="1" t="n">
        <v>5</v>
      </c>
      <c r="J32" s="1" t="n">
        <v>71.3</v>
      </c>
      <c r="K32" s="1" t="n">
        <v>62.6</v>
      </c>
      <c r="L32" s="1" t="n">
        <v>3</v>
      </c>
      <c r="M32" s="1" t="n">
        <v>13.67</v>
      </c>
      <c r="N32" s="1" t="n">
        <f aca="false">440/1330</f>
        <v>0.3308270677</v>
      </c>
      <c r="O32" s="1" t="n">
        <v>0.210378682</v>
      </c>
      <c r="P32" s="1" t="n">
        <v>0.737</v>
      </c>
      <c r="Q32" s="1" t="n">
        <v>18</v>
      </c>
      <c r="R32" s="1" t="n">
        <v>13.4</v>
      </c>
      <c r="S32" s="1" t="n">
        <v>0.625</v>
      </c>
    </row>
    <row r="33" customFormat="false" ht="12.75" hidden="false" customHeight="false" outlineLevel="0" collapsed="false">
      <c r="A33" s="1" t="s">
        <v>519</v>
      </c>
      <c r="B33" s="1" t="n">
        <v>0</v>
      </c>
      <c r="D33" s="1" t="n">
        <v>0.5357</v>
      </c>
      <c r="E33" s="1" t="n">
        <v>9</v>
      </c>
      <c r="F33" s="1" t="n">
        <v>1</v>
      </c>
      <c r="G33" s="1" t="n">
        <v>0</v>
      </c>
      <c r="H33" s="1" t="n">
        <v>0</v>
      </c>
      <c r="I33" s="1" t="n">
        <v>3</v>
      </c>
      <c r="J33" s="1" t="n">
        <v>62.7</v>
      </c>
      <c r="K33" s="1" t="n">
        <v>65.8</v>
      </c>
      <c r="L33" s="1" t="n">
        <v>0</v>
      </c>
      <c r="M33" s="1" t="n">
        <v>14.44</v>
      </c>
      <c r="N33" s="1" t="n">
        <f aca="false">389/1107</f>
        <v>0.3514001807</v>
      </c>
      <c r="O33" s="1" t="n">
        <v>0.220095694</v>
      </c>
      <c r="P33" s="1" t="n">
        <v>0.678</v>
      </c>
      <c r="Q33" s="1" t="n">
        <v>15</v>
      </c>
      <c r="R33" s="1" t="n">
        <v>-6.2</v>
      </c>
      <c r="S33" s="1" t="n">
        <v>0.583333333</v>
      </c>
    </row>
    <row r="34" customFormat="false" ht="12.75" hidden="false" customHeight="false" outlineLevel="0" collapsed="false">
      <c r="A34" s="1" t="s">
        <v>508</v>
      </c>
      <c r="B34" s="1" t="n">
        <v>1</v>
      </c>
      <c r="D34" s="1" t="n">
        <v>0.6757</v>
      </c>
      <c r="E34" s="1" t="n">
        <v>7</v>
      </c>
      <c r="F34" s="1" t="n">
        <v>0</v>
      </c>
      <c r="G34" s="1" t="n">
        <v>1</v>
      </c>
      <c r="H34" s="1" t="n">
        <v>3</v>
      </c>
      <c r="I34" s="1" t="n">
        <v>7</v>
      </c>
      <c r="J34" s="1" t="n">
        <v>73.1</v>
      </c>
      <c r="K34" s="1" t="n">
        <v>65.5</v>
      </c>
      <c r="L34" s="1" t="n">
        <v>1</v>
      </c>
      <c r="M34" s="1" t="n">
        <v>15.28</v>
      </c>
      <c r="N34" s="1" t="n">
        <f aca="false">410/1385</f>
        <v>0.2960288809</v>
      </c>
      <c r="O34" s="1" t="n">
        <v>0.287277702</v>
      </c>
      <c r="P34" s="1" t="n">
        <v>0.646</v>
      </c>
      <c r="Q34" s="1" t="n">
        <v>14</v>
      </c>
      <c r="R34" s="1" t="n">
        <v>11</v>
      </c>
      <c r="S34" s="1" t="n">
        <v>0.4</v>
      </c>
    </row>
    <row r="35" customFormat="false" ht="12.75" hidden="false" customHeight="false" outlineLevel="0" collapsed="false">
      <c r="A35" s="1" t="s">
        <v>520</v>
      </c>
      <c r="B35" s="1" t="n">
        <v>1</v>
      </c>
      <c r="D35" s="1" t="n">
        <v>0.5732</v>
      </c>
      <c r="E35" s="1" t="n">
        <v>8</v>
      </c>
      <c r="F35" s="1" t="n">
        <v>1</v>
      </c>
      <c r="G35" s="1" t="n">
        <v>0</v>
      </c>
      <c r="H35" s="1" t="n">
        <v>1</v>
      </c>
      <c r="I35" s="1" t="n">
        <v>3</v>
      </c>
      <c r="J35" s="1" t="n">
        <v>69.1</v>
      </c>
      <c r="K35" s="1" t="n">
        <v>67.7</v>
      </c>
      <c r="L35" s="1" t="n">
        <v>0</v>
      </c>
      <c r="M35" s="1" t="n">
        <v>14.38</v>
      </c>
      <c r="N35" s="1" t="n">
        <f aca="false">345/1152</f>
        <v>0.2994791667</v>
      </c>
      <c r="O35" s="1" t="n">
        <v>0.260492041</v>
      </c>
      <c r="P35" s="1" t="n">
        <v>0.703</v>
      </c>
      <c r="Q35" s="1" t="n">
        <v>16</v>
      </c>
      <c r="R35" s="1" t="n">
        <v>2.3</v>
      </c>
      <c r="S35" s="1" t="n">
        <v>0.375</v>
      </c>
    </row>
    <row r="36" customFormat="false" ht="12.75" hidden="false" customHeight="false" outlineLevel="0" collapsed="false">
      <c r="A36" s="1" t="s">
        <v>51</v>
      </c>
      <c r="B36" s="1" t="n">
        <v>4</v>
      </c>
      <c r="D36" s="1" t="n">
        <v>0.9186</v>
      </c>
      <c r="E36" s="1" t="n">
        <v>10</v>
      </c>
      <c r="F36" s="1" t="n">
        <v>1</v>
      </c>
      <c r="G36" s="1" t="n">
        <v>1</v>
      </c>
      <c r="H36" s="1" t="n">
        <v>9</v>
      </c>
      <c r="I36" s="1" t="n">
        <v>1</v>
      </c>
      <c r="J36" s="1" t="n">
        <v>88.7</v>
      </c>
      <c r="K36" s="1" t="n">
        <v>72.5</v>
      </c>
      <c r="L36" s="1" t="n">
        <v>3</v>
      </c>
      <c r="M36" s="1" t="n">
        <v>14.68</v>
      </c>
      <c r="N36" s="1" t="n">
        <f aca="false">463/1297</f>
        <v>0.3569776407</v>
      </c>
      <c r="O36" s="1" t="n">
        <v>0.186020293</v>
      </c>
      <c r="P36" s="1" t="n">
        <v>0.757</v>
      </c>
      <c r="Q36" s="1" t="n">
        <v>15</v>
      </c>
      <c r="R36" s="1" t="n">
        <v>21</v>
      </c>
      <c r="S36" s="1" t="n">
        <v>0.857142857</v>
      </c>
    </row>
    <row r="37" customFormat="false" ht="12.75" hidden="false" customHeight="false" outlineLevel="0" collapsed="false">
      <c r="A37" s="1" t="s">
        <v>121</v>
      </c>
      <c r="B37" s="1" t="n">
        <v>1</v>
      </c>
      <c r="D37" s="1" t="n">
        <v>0.7805</v>
      </c>
      <c r="E37" s="1" t="n">
        <v>7</v>
      </c>
      <c r="F37" s="1" t="n">
        <v>0</v>
      </c>
      <c r="G37" s="1" t="n">
        <v>1</v>
      </c>
      <c r="H37" s="1" t="n">
        <v>6</v>
      </c>
      <c r="I37" s="1" t="n">
        <v>6</v>
      </c>
      <c r="J37" s="1" t="n">
        <v>80.6</v>
      </c>
      <c r="K37" s="1" t="n">
        <v>70</v>
      </c>
      <c r="L37" s="1" t="n">
        <v>1</v>
      </c>
      <c r="M37" s="1" t="n">
        <v>13</v>
      </c>
      <c r="N37" s="1" t="n">
        <f aca="false">436/1371</f>
        <v>0.3180160467</v>
      </c>
      <c r="O37" s="1" t="n">
        <v>0.316377171</v>
      </c>
      <c r="P37" s="1" t="n">
        <v>0.738</v>
      </c>
      <c r="Q37" s="1" t="n">
        <v>17</v>
      </c>
      <c r="R37" s="1" t="n">
        <v>13.3</v>
      </c>
      <c r="S37" s="1" t="n">
        <v>0.4</v>
      </c>
    </row>
    <row r="38" customFormat="false" ht="12.75" hidden="false" customHeight="false" outlineLevel="0" collapsed="false">
      <c r="A38" s="1" t="s">
        <v>85</v>
      </c>
      <c r="B38" s="1" t="n">
        <v>1</v>
      </c>
      <c r="D38" s="1" t="n">
        <v>0.6525</v>
      </c>
      <c r="E38" s="1" t="n">
        <v>7</v>
      </c>
      <c r="F38" s="1" t="n">
        <v>0</v>
      </c>
      <c r="G38" s="1" t="n">
        <v>0</v>
      </c>
      <c r="H38" s="1" t="n">
        <v>7</v>
      </c>
      <c r="I38" s="1" t="n">
        <v>8</v>
      </c>
      <c r="J38" s="1" t="n">
        <v>68.4</v>
      </c>
      <c r="K38" s="1" t="n">
        <v>63.8</v>
      </c>
      <c r="L38" s="1" t="n">
        <v>2</v>
      </c>
      <c r="M38" s="1" t="n">
        <v>12.91</v>
      </c>
      <c r="N38" s="1" t="n">
        <f aca="false">391/1240</f>
        <v>0.3153225806</v>
      </c>
      <c r="O38" s="1" t="n">
        <v>0.276315789</v>
      </c>
      <c r="P38" s="1" t="n">
        <v>0.681</v>
      </c>
      <c r="Q38" s="1" t="n">
        <v>17</v>
      </c>
      <c r="R38" s="1" t="n">
        <v>6.3</v>
      </c>
      <c r="S38" s="1" t="n">
        <v>0.714285714</v>
      </c>
    </row>
    <row r="39" customFormat="false" ht="12.75" hidden="false" customHeight="false" outlineLevel="0" collapsed="false">
      <c r="A39" s="1" t="s">
        <v>521</v>
      </c>
      <c r="B39" s="1" t="n">
        <v>0</v>
      </c>
      <c r="D39" s="1" t="n">
        <v>0.7842</v>
      </c>
      <c r="E39" s="1" t="n">
        <v>7</v>
      </c>
      <c r="F39" s="1" t="n">
        <v>1</v>
      </c>
      <c r="G39" s="1" t="n">
        <v>0</v>
      </c>
      <c r="H39" s="1" t="n">
        <v>0</v>
      </c>
      <c r="I39" s="1" t="n">
        <v>3</v>
      </c>
      <c r="J39" s="1" t="n">
        <v>69.3</v>
      </c>
      <c r="K39" s="1" t="n">
        <v>62.9</v>
      </c>
      <c r="L39" s="1" t="n">
        <v>2</v>
      </c>
      <c r="M39" s="1" t="n">
        <v>13.16</v>
      </c>
      <c r="N39" s="1" t="n">
        <f aca="false">371/1182</f>
        <v>0.3138747885</v>
      </c>
      <c r="O39" s="1" t="n">
        <v>0.29004329</v>
      </c>
      <c r="P39" s="1" t="n">
        <v>0.67</v>
      </c>
      <c r="Q39" s="1" t="n">
        <v>18</v>
      </c>
      <c r="R39" s="1" t="n">
        <v>10.7</v>
      </c>
      <c r="S39" s="1" t="n">
        <v>0.4</v>
      </c>
    </row>
    <row r="40" customFormat="false" ht="12.75" hidden="false" customHeight="false" outlineLevel="0" collapsed="false">
      <c r="A40" s="1" t="s">
        <v>123</v>
      </c>
      <c r="B40" s="1" t="n">
        <v>0</v>
      </c>
      <c r="D40" s="1" t="n">
        <v>0.5736</v>
      </c>
      <c r="E40" s="1" t="n">
        <v>5</v>
      </c>
      <c r="F40" s="1" t="n">
        <v>0</v>
      </c>
      <c r="G40" s="1" t="n">
        <v>1</v>
      </c>
      <c r="H40" s="1" t="n">
        <v>5</v>
      </c>
      <c r="I40" s="1" t="n">
        <v>9</v>
      </c>
      <c r="J40" s="1" t="n">
        <v>76.8</v>
      </c>
      <c r="K40" s="1" t="n">
        <v>72.5</v>
      </c>
      <c r="L40" s="1" t="n">
        <v>1</v>
      </c>
      <c r="M40" s="1" t="n">
        <v>12.65</v>
      </c>
      <c r="N40" s="1" t="n">
        <f aca="false">327/1093</f>
        <v>0.2991765782</v>
      </c>
      <c r="O40" s="1" t="n">
        <v>0.33984375</v>
      </c>
      <c r="P40" s="1" t="n">
        <v>0.694</v>
      </c>
      <c r="Q40" s="1" t="n">
        <v>16</v>
      </c>
      <c r="R40" s="1" t="n">
        <v>5.9</v>
      </c>
      <c r="S40" s="1" t="n">
        <v>0.5</v>
      </c>
    </row>
    <row r="41" customFormat="false" ht="12.75" hidden="false" customHeight="false" outlineLevel="0" collapsed="false">
      <c r="A41" s="1" t="s">
        <v>197</v>
      </c>
      <c r="B41" s="1" t="n">
        <v>1</v>
      </c>
      <c r="D41" s="1" t="n">
        <v>0.75</v>
      </c>
      <c r="E41" s="1" t="n">
        <v>7</v>
      </c>
      <c r="F41" s="1" t="n">
        <v>1</v>
      </c>
      <c r="G41" s="1" t="n">
        <v>1</v>
      </c>
      <c r="H41" s="1" t="n">
        <v>8</v>
      </c>
      <c r="I41" s="1" t="n">
        <v>6</v>
      </c>
      <c r="J41" s="1" t="n">
        <v>74.1</v>
      </c>
      <c r="K41" s="1" t="n">
        <v>65.2</v>
      </c>
      <c r="L41" s="1" t="n">
        <v>3</v>
      </c>
      <c r="M41" s="1" t="n">
        <v>12.2</v>
      </c>
      <c r="N41" s="1" t="n">
        <f aca="false">533/1399</f>
        <v>0.3809864189</v>
      </c>
      <c r="O41" s="1" t="n">
        <v>0.246963563</v>
      </c>
      <c r="P41" s="1" t="n">
        <v>0.667</v>
      </c>
      <c r="Q41" s="1" t="n">
        <v>19</v>
      </c>
      <c r="R41" s="1" t="n">
        <v>13.1</v>
      </c>
      <c r="S41" s="1" t="n">
        <v>0.625</v>
      </c>
    </row>
    <row r="42" customFormat="false" ht="12.75" hidden="false" customHeight="false" outlineLevel="0" collapsed="false">
      <c r="A42" s="1" t="s">
        <v>512</v>
      </c>
      <c r="B42" s="1" t="n">
        <v>0</v>
      </c>
      <c r="D42" s="1" t="n">
        <v>0.7574</v>
      </c>
      <c r="E42" s="1" t="n">
        <v>9</v>
      </c>
      <c r="F42" s="1" t="n">
        <v>1</v>
      </c>
      <c r="G42" s="1" t="n">
        <v>0</v>
      </c>
      <c r="H42" s="1" t="n">
        <v>0</v>
      </c>
      <c r="I42" s="1" t="n">
        <v>3</v>
      </c>
      <c r="J42" s="1" t="n">
        <v>74.3</v>
      </c>
      <c r="K42" s="1" t="n">
        <v>69.4</v>
      </c>
      <c r="L42" s="1" t="n">
        <v>0</v>
      </c>
      <c r="M42" s="1" t="n">
        <v>14.63</v>
      </c>
      <c r="N42" s="1" t="n">
        <f aca="false">381/1129</f>
        <v>0.3374667848</v>
      </c>
      <c r="O42" s="1" t="n">
        <v>0.35935397</v>
      </c>
      <c r="P42" s="1" t="n">
        <v>0.677</v>
      </c>
      <c r="Q42" s="1" t="n">
        <v>16</v>
      </c>
      <c r="R42" s="1" t="n">
        <v>8.6</v>
      </c>
      <c r="S42" s="1" t="n">
        <v>0.666666667</v>
      </c>
    </row>
    <row r="43" customFormat="false" ht="12.75" hidden="false" customHeight="false" outlineLevel="0" collapsed="false">
      <c r="A43" s="1" t="s">
        <v>69</v>
      </c>
      <c r="B43" s="1" t="n">
        <v>1</v>
      </c>
      <c r="D43" s="1" t="n">
        <v>0.7576</v>
      </c>
      <c r="E43" s="1" t="n">
        <v>7</v>
      </c>
      <c r="F43" s="1" t="n">
        <v>0</v>
      </c>
      <c r="G43" s="1" t="n">
        <v>1</v>
      </c>
      <c r="H43" s="1" t="n">
        <v>4</v>
      </c>
      <c r="I43" s="1" t="n">
        <v>3</v>
      </c>
      <c r="J43" s="1" t="n">
        <v>68.7</v>
      </c>
      <c r="K43" s="1" t="n">
        <v>62.4</v>
      </c>
      <c r="L43" s="1" t="n">
        <v>1</v>
      </c>
      <c r="M43" s="1" t="n">
        <v>12.91</v>
      </c>
      <c r="N43" s="1" t="n">
        <f aca="false">389/1124</f>
        <v>0.3460854093</v>
      </c>
      <c r="O43" s="1" t="n">
        <v>0.323144105</v>
      </c>
      <c r="P43" s="1" t="n">
        <v>0.712</v>
      </c>
      <c r="Q43" s="1" t="n">
        <v>8</v>
      </c>
      <c r="R43" s="1" t="n">
        <v>10.8</v>
      </c>
      <c r="S43" s="1" t="n">
        <v>0.5</v>
      </c>
    </row>
    <row r="44" customFormat="false" ht="12.75" hidden="false" customHeight="false" outlineLevel="0" collapsed="false">
      <c r="A44" s="1" t="s">
        <v>522</v>
      </c>
      <c r="B44" s="1" t="n">
        <v>0</v>
      </c>
      <c r="D44" s="1" t="n">
        <v>0.6485</v>
      </c>
      <c r="E44" s="1" t="n">
        <v>5</v>
      </c>
      <c r="F44" s="1" t="n">
        <v>0</v>
      </c>
      <c r="G44" s="1" t="n">
        <v>0</v>
      </c>
      <c r="H44" s="1" t="n">
        <v>5</v>
      </c>
      <c r="I44" s="1" t="n">
        <v>4</v>
      </c>
      <c r="J44" s="1" t="n">
        <v>73.3</v>
      </c>
      <c r="K44" s="1" t="n">
        <v>67.4</v>
      </c>
      <c r="L44" s="1" t="n">
        <v>0</v>
      </c>
      <c r="M44" s="1" t="n">
        <v>12.73</v>
      </c>
      <c r="N44" s="1" t="n">
        <f aca="false">337/1086</f>
        <v>0.3103130755</v>
      </c>
      <c r="O44" s="1" t="n">
        <v>0.298772169</v>
      </c>
      <c r="P44" s="1" t="n">
        <v>0.726</v>
      </c>
      <c r="Q44" s="1" t="n">
        <v>18</v>
      </c>
      <c r="R44" s="1" t="n">
        <v>8.6</v>
      </c>
      <c r="S44" s="1" t="n">
        <v>0.272727273</v>
      </c>
    </row>
    <row r="45" customFormat="false" ht="12.75" hidden="false" customHeight="false" outlineLevel="0" collapsed="false">
      <c r="A45" s="1" t="s">
        <v>523</v>
      </c>
      <c r="B45" s="1" t="n">
        <v>1</v>
      </c>
      <c r="D45" s="1" t="n">
        <v>0.5882</v>
      </c>
      <c r="E45" s="1" t="n">
        <v>8</v>
      </c>
      <c r="F45" s="1" t="n">
        <v>1</v>
      </c>
      <c r="G45" s="1" t="n">
        <v>0</v>
      </c>
      <c r="H45" s="1" t="n">
        <v>4</v>
      </c>
      <c r="I45" s="1" t="n">
        <v>7</v>
      </c>
      <c r="J45" s="1" t="n">
        <v>65.6</v>
      </c>
      <c r="K45" s="1" t="n">
        <v>62.9</v>
      </c>
      <c r="L45" s="1" t="n">
        <v>0</v>
      </c>
      <c r="M45" s="1" t="n">
        <v>15</v>
      </c>
      <c r="N45" s="1" t="n">
        <f aca="false">384/1207</f>
        <v>0.3181441591</v>
      </c>
      <c r="O45" s="1" t="n">
        <v>0.228658537</v>
      </c>
      <c r="P45" s="1" t="n">
        <v>0.672</v>
      </c>
      <c r="Q45" s="1" t="n">
        <v>14</v>
      </c>
      <c r="R45" s="1" t="n">
        <v>2.8</v>
      </c>
      <c r="S45" s="1" t="n">
        <v>0.833333333</v>
      </c>
    </row>
    <row r="46" customFormat="false" ht="12.75" hidden="false" customHeight="false" outlineLevel="0" collapsed="false">
      <c r="A46" s="1" t="s">
        <v>493</v>
      </c>
      <c r="B46" s="1" t="n">
        <v>1</v>
      </c>
      <c r="D46" s="1" t="n">
        <v>0.6849</v>
      </c>
      <c r="E46" s="1" t="n">
        <v>8</v>
      </c>
      <c r="F46" s="1" t="n">
        <v>1</v>
      </c>
      <c r="G46" s="1" t="n">
        <v>0</v>
      </c>
      <c r="H46" s="1" t="n">
        <v>1</v>
      </c>
      <c r="I46" s="1" t="n">
        <v>3</v>
      </c>
      <c r="J46" s="1" t="n">
        <v>76.8</v>
      </c>
      <c r="K46" s="1" t="n">
        <v>71.2</v>
      </c>
      <c r="L46" s="1" t="n">
        <v>0</v>
      </c>
      <c r="M46" s="1" t="n">
        <v>11.09</v>
      </c>
      <c r="N46" s="1" t="n">
        <f aca="false">390/1148</f>
        <v>0.3397212544</v>
      </c>
      <c r="O46" s="1" t="n">
        <v>0.2734375</v>
      </c>
      <c r="P46" s="1" t="n">
        <v>0.689</v>
      </c>
      <c r="Q46" s="1" t="n">
        <v>16</v>
      </c>
      <c r="R46" s="1" t="n">
        <v>8</v>
      </c>
      <c r="S46" s="1" t="n">
        <v>0.714285714</v>
      </c>
    </row>
    <row r="47" customFormat="false" ht="12.75" hidden="false" customHeight="false" outlineLevel="0" collapsed="false">
      <c r="A47" s="1" t="s">
        <v>524</v>
      </c>
      <c r="B47" s="1" t="n">
        <v>0</v>
      </c>
      <c r="D47" s="1" t="n">
        <v>0.8125</v>
      </c>
      <c r="E47" s="1" t="n">
        <v>8</v>
      </c>
      <c r="F47" s="1" t="n">
        <v>0</v>
      </c>
      <c r="G47" s="1" t="n">
        <v>0</v>
      </c>
      <c r="H47" s="1" t="n">
        <v>4</v>
      </c>
      <c r="I47" s="1" t="n">
        <v>1</v>
      </c>
      <c r="J47" s="1" t="n">
        <v>75.5</v>
      </c>
      <c r="K47" s="1" t="n">
        <v>66.9</v>
      </c>
      <c r="L47" s="1" t="n">
        <v>1</v>
      </c>
      <c r="M47" s="1" t="n">
        <v>13.84</v>
      </c>
      <c r="N47" s="1" t="n">
        <f aca="false">404/1223</f>
        <v>0.3303352412</v>
      </c>
      <c r="O47" s="1" t="n">
        <v>0.266225166</v>
      </c>
      <c r="P47" s="1" t="n">
        <v>0.704</v>
      </c>
      <c r="Q47" s="1" t="n">
        <v>16</v>
      </c>
      <c r="R47" s="1" t="n">
        <v>14.4</v>
      </c>
      <c r="S47" s="1" t="n">
        <v>0.428571429</v>
      </c>
    </row>
    <row r="48" customFormat="false" ht="12.75" hidden="false" customHeight="false" outlineLevel="0" collapsed="false">
      <c r="A48" s="1" t="s">
        <v>513</v>
      </c>
      <c r="B48" s="1" t="n">
        <v>0</v>
      </c>
      <c r="D48" s="1" t="n">
        <v>0.6346</v>
      </c>
      <c r="E48" s="1" t="n">
        <v>6</v>
      </c>
      <c r="F48" s="1" t="n">
        <v>0</v>
      </c>
      <c r="G48" s="1" t="n">
        <v>1</v>
      </c>
      <c r="H48" s="1" t="n">
        <v>7</v>
      </c>
      <c r="I48" s="1" t="n">
        <v>8</v>
      </c>
      <c r="J48" s="1" t="n">
        <v>69.1</v>
      </c>
      <c r="K48" s="1" t="n">
        <v>63.7</v>
      </c>
      <c r="L48" s="1" t="n">
        <v>1</v>
      </c>
      <c r="M48" s="1" t="n">
        <v>14.72</v>
      </c>
      <c r="N48" s="1" t="n">
        <f aca="false">305/1106</f>
        <v>0.2757685353</v>
      </c>
      <c r="O48" s="1" t="n">
        <v>0.164978292</v>
      </c>
      <c r="P48" s="1" t="n">
        <v>0.685</v>
      </c>
      <c r="Q48" s="1" t="n">
        <v>8</v>
      </c>
      <c r="R48" s="1" t="n">
        <v>8</v>
      </c>
      <c r="S48" s="1" t="n">
        <v>0.4</v>
      </c>
    </row>
    <row r="49" customFormat="false" ht="12.75" hidden="false" customHeight="false" outlineLevel="0" collapsed="false">
      <c r="A49" s="1" t="s">
        <v>406</v>
      </c>
      <c r="B49" s="1" t="n">
        <v>0</v>
      </c>
      <c r="D49" s="1" t="n">
        <v>0.8254</v>
      </c>
      <c r="E49" s="1" t="n">
        <v>7</v>
      </c>
      <c r="F49" s="1" t="n">
        <v>0</v>
      </c>
      <c r="G49" s="1" t="n">
        <v>0</v>
      </c>
      <c r="H49" s="1" t="n">
        <v>5</v>
      </c>
      <c r="I49" s="1" t="n">
        <v>5</v>
      </c>
      <c r="J49" s="1" t="n">
        <v>76.2</v>
      </c>
      <c r="K49" s="1" t="n">
        <v>63.8</v>
      </c>
      <c r="L49" s="1" t="n">
        <v>1</v>
      </c>
      <c r="M49" s="1" t="n">
        <v>13.77</v>
      </c>
      <c r="N49" s="1" t="n">
        <f aca="false">385/1138</f>
        <v>0.3383128295</v>
      </c>
      <c r="O49" s="1" t="n">
        <v>0.311023622</v>
      </c>
      <c r="P49" s="1" t="n">
        <v>0.661</v>
      </c>
      <c r="Q49" s="1" t="n">
        <v>17</v>
      </c>
      <c r="R49" s="1" t="n">
        <v>17.3</v>
      </c>
      <c r="S49" s="1" t="n">
        <v>1</v>
      </c>
    </row>
    <row r="50" customFormat="false" ht="12.75" hidden="false" customHeight="false" outlineLevel="0" collapsed="false">
      <c r="A50" s="1" t="s">
        <v>335</v>
      </c>
      <c r="B50" s="1" t="n">
        <v>2</v>
      </c>
      <c r="D50" s="1" t="n">
        <v>0.8085</v>
      </c>
      <c r="E50" s="1" t="n">
        <v>6</v>
      </c>
      <c r="F50" s="1" t="n">
        <v>0</v>
      </c>
      <c r="G50" s="1" t="n">
        <v>1</v>
      </c>
      <c r="H50" s="1" t="n">
        <v>8</v>
      </c>
      <c r="I50" s="1" t="n">
        <v>6</v>
      </c>
      <c r="J50" s="1" t="n">
        <v>70.7</v>
      </c>
      <c r="K50" s="1" t="n">
        <v>61.6</v>
      </c>
      <c r="L50" s="1" t="n">
        <v>2</v>
      </c>
      <c r="M50" s="1" t="n">
        <v>12.27</v>
      </c>
      <c r="N50" s="1" t="n">
        <f aca="false">478/1409</f>
        <v>0.3392476934</v>
      </c>
      <c r="O50" s="1" t="n">
        <v>0.229137199</v>
      </c>
      <c r="P50" s="1" t="n">
        <v>0.694</v>
      </c>
      <c r="Q50" s="1" t="n">
        <v>18</v>
      </c>
      <c r="R50" s="1" t="n">
        <v>14.3</v>
      </c>
      <c r="S50" s="1" t="n">
        <v>0.625</v>
      </c>
    </row>
    <row r="51" customFormat="false" ht="12.75" hidden="false" customHeight="false" outlineLevel="0" collapsed="false">
      <c r="A51" s="1" t="s">
        <v>202</v>
      </c>
      <c r="B51" s="1" t="n">
        <v>0</v>
      </c>
      <c r="D51" s="1" t="n">
        <v>0.6306</v>
      </c>
      <c r="E51" s="1" t="n">
        <v>8</v>
      </c>
      <c r="F51" s="1" t="n">
        <v>1</v>
      </c>
      <c r="G51" s="1" t="n">
        <v>0</v>
      </c>
      <c r="H51" s="1" t="n">
        <v>3</v>
      </c>
      <c r="I51" s="1" t="n">
        <v>4</v>
      </c>
      <c r="J51" s="1" t="n">
        <v>72.6</v>
      </c>
      <c r="K51" s="1" t="n">
        <v>68.7</v>
      </c>
      <c r="L51" s="1" t="n">
        <v>0</v>
      </c>
      <c r="M51" s="1" t="n">
        <v>12.76</v>
      </c>
      <c r="N51" s="1" t="n">
        <f aca="false">301/1108</f>
        <v>0.2716606498</v>
      </c>
      <c r="O51" s="1" t="n">
        <v>0.326446281</v>
      </c>
      <c r="P51" s="1" t="n">
        <v>0.74</v>
      </c>
      <c r="Q51" s="1" t="n">
        <v>17</v>
      </c>
      <c r="R51" s="1" t="n">
        <v>5.4</v>
      </c>
      <c r="S51" s="1" t="n">
        <v>0.538461538</v>
      </c>
    </row>
    <row r="52" customFormat="false" ht="12.75" hidden="false" customHeight="false" outlineLevel="0" collapsed="false">
      <c r="A52" s="1" t="s">
        <v>336</v>
      </c>
      <c r="B52" s="1" t="n">
        <v>2</v>
      </c>
      <c r="D52" s="1" t="n">
        <v>0.8904</v>
      </c>
      <c r="E52" s="1" t="n">
        <v>8</v>
      </c>
      <c r="F52" s="1" t="n">
        <v>0</v>
      </c>
      <c r="G52" s="1" t="n">
        <v>1</v>
      </c>
      <c r="H52" s="1" t="n">
        <v>12</v>
      </c>
      <c r="I52" s="1" t="n">
        <v>4</v>
      </c>
      <c r="J52" s="1" t="n">
        <v>83</v>
      </c>
      <c r="K52" s="1" t="n">
        <v>70.7</v>
      </c>
      <c r="L52" s="1" t="n">
        <v>2</v>
      </c>
      <c r="M52" s="1" t="n">
        <v>12.82</v>
      </c>
      <c r="N52" s="1" t="n">
        <f aca="false">501/1358</f>
        <v>0.3689248895</v>
      </c>
      <c r="O52" s="1" t="n">
        <v>0.325301205</v>
      </c>
      <c r="P52" s="1" t="n">
        <v>0.659</v>
      </c>
      <c r="Q52" s="1" t="n">
        <v>14</v>
      </c>
      <c r="R52" s="1" t="n">
        <v>16.3</v>
      </c>
      <c r="S52" s="1" t="n">
        <v>0.846153846</v>
      </c>
    </row>
    <row r="53" customFormat="false" ht="12.75" hidden="false" customHeight="false" outlineLevel="0" collapsed="false">
      <c r="A53" s="1" t="s">
        <v>33</v>
      </c>
      <c r="B53" s="1" t="n">
        <v>3</v>
      </c>
      <c r="D53" s="1" t="n">
        <v>0.8182</v>
      </c>
      <c r="E53" s="1" t="n">
        <v>8</v>
      </c>
      <c r="F53" s="1" t="n">
        <v>0</v>
      </c>
      <c r="G53" s="1" t="n">
        <v>0</v>
      </c>
      <c r="H53" s="1" t="n">
        <v>12</v>
      </c>
      <c r="I53" s="1" t="n">
        <v>4</v>
      </c>
      <c r="J53" s="1" t="n">
        <v>75.6</v>
      </c>
      <c r="K53" s="1" t="n">
        <v>65.3</v>
      </c>
      <c r="L53" s="1" t="n">
        <v>3</v>
      </c>
      <c r="M53" s="1" t="n">
        <v>9.44</v>
      </c>
      <c r="N53" s="1" t="n">
        <f aca="false">474/1351</f>
        <v>0.3508512213</v>
      </c>
      <c r="O53" s="1" t="n">
        <v>0.313492063</v>
      </c>
      <c r="P53" s="1" t="n">
        <v>0.683</v>
      </c>
      <c r="Q53" s="1" t="n">
        <v>13</v>
      </c>
      <c r="R53" s="1" t="n">
        <v>16</v>
      </c>
      <c r="S53" s="1" t="n">
        <v>0.8</v>
      </c>
    </row>
    <row r="54" customFormat="false" ht="12.75" hidden="false" customHeight="false" outlineLevel="0" collapsed="false">
      <c r="A54" s="1" t="s">
        <v>49</v>
      </c>
      <c r="B54" s="1" t="n">
        <v>1</v>
      </c>
      <c r="D54" s="1" t="n">
        <v>0.6596</v>
      </c>
      <c r="E54" s="1" t="n">
        <v>4</v>
      </c>
      <c r="F54" s="1" t="n">
        <v>0</v>
      </c>
      <c r="G54" s="1" t="n">
        <v>0</v>
      </c>
      <c r="H54" s="1" t="n">
        <v>5</v>
      </c>
      <c r="I54" s="1" t="n">
        <v>7</v>
      </c>
      <c r="J54" s="1" t="n">
        <v>71.5</v>
      </c>
      <c r="K54" s="1" t="n">
        <v>61.6</v>
      </c>
      <c r="L54" s="1" t="n">
        <v>2</v>
      </c>
      <c r="M54" s="1" t="n">
        <v>12.76</v>
      </c>
      <c r="N54" s="1" t="n">
        <f aca="false">424/1402</f>
        <v>0.302425107</v>
      </c>
      <c r="O54" s="1" t="n">
        <v>0.247552448</v>
      </c>
      <c r="P54" s="1" t="n">
        <v>0.633</v>
      </c>
      <c r="Q54" s="1" t="n">
        <v>16</v>
      </c>
      <c r="R54" s="1" t="n">
        <v>14</v>
      </c>
      <c r="S54" s="1" t="n">
        <v>0.666666667</v>
      </c>
    </row>
    <row r="55" customFormat="false" ht="12.75" hidden="false" customHeight="false" outlineLevel="0" collapsed="false">
      <c r="A55" s="1" t="s">
        <v>64</v>
      </c>
      <c r="B55" s="1" t="n">
        <v>4</v>
      </c>
      <c r="D55" s="1" t="n">
        <v>0.8903</v>
      </c>
      <c r="E55" s="1" t="n">
        <v>10</v>
      </c>
      <c r="F55" s="1" t="n">
        <v>1</v>
      </c>
      <c r="G55" s="1" t="n">
        <v>1</v>
      </c>
      <c r="H55" s="1" t="n">
        <v>14</v>
      </c>
      <c r="I55" s="1" t="n">
        <v>2</v>
      </c>
      <c r="J55" s="1" t="n">
        <v>74.1</v>
      </c>
      <c r="K55" s="1" t="n">
        <v>59.4</v>
      </c>
      <c r="L55" s="1" t="n">
        <v>3</v>
      </c>
      <c r="M55" s="1" t="n">
        <v>12.35</v>
      </c>
      <c r="N55" s="1" t="n">
        <f aca="false">287/960</f>
        <v>0.2989583333</v>
      </c>
      <c r="O55" s="1" t="n">
        <v>0.218623482</v>
      </c>
      <c r="P55" s="1" t="n">
        <v>0.732</v>
      </c>
      <c r="Q55" s="1" t="n">
        <v>16</v>
      </c>
      <c r="R55" s="1" t="n">
        <v>22.3</v>
      </c>
      <c r="S55" s="1" t="n">
        <v>0.857142857</v>
      </c>
    </row>
    <row r="56" customFormat="false" ht="12.75" hidden="false" customHeight="false" outlineLevel="0" collapsed="false">
      <c r="A56" s="1" t="s">
        <v>21</v>
      </c>
      <c r="B56" s="1" t="n">
        <v>0</v>
      </c>
      <c r="D56" s="1" t="n">
        <v>0.7956</v>
      </c>
      <c r="E56" s="1" t="n">
        <v>9</v>
      </c>
      <c r="F56" s="1" t="n">
        <v>1</v>
      </c>
      <c r="G56" s="1" t="n">
        <v>0</v>
      </c>
      <c r="H56" s="1" t="n">
        <v>1</v>
      </c>
      <c r="I56" s="1" t="n">
        <v>1</v>
      </c>
      <c r="J56" s="1" t="n">
        <v>75.1</v>
      </c>
      <c r="K56" s="1" t="n">
        <v>69.4</v>
      </c>
      <c r="L56" s="1" t="n">
        <v>0</v>
      </c>
      <c r="M56" s="1" t="n">
        <v>9.56</v>
      </c>
      <c r="N56" s="1" t="n">
        <f aca="false">371/1126</f>
        <v>0.3294849023</v>
      </c>
      <c r="O56" s="1" t="n">
        <v>0.299600533</v>
      </c>
      <c r="P56" s="1" t="n">
        <v>0.725</v>
      </c>
      <c r="Q56" s="1" t="n">
        <v>18</v>
      </c>
      <c r="R56" s="1" t="n">
        <v>8.8</v>
      </c>
      <c r="S56" s="1" t="n">
        <v>0.642857143</v>
      </c>
    </row>
    <row r="57" customFormat="false" ht="12.75" hidden="false" customHeight="false" outlineLevel="0" collapsed="false">
      <c r="A57" s="1" t="s">
        <v>378</v>
      </c>
      <c r="B57" s="1" t="n">
        <v>1</v>
      </c>
      <c r="D57" s="1" t="n">
        <v>0.7734</v>
      </c>
      <c r="E57" s="1" t="n">
        <v>8</v>
      </c>
      <c r="F57" s="1" t="n">
        <v>1</v>
      </c>
      <c r="G57" s="1" t="n">
        <v>0</v>
      </c>
      <c r="H57" s="1" t="n">
        <v>3</v>
      </c>
      <c r="I57" s="1" t="n">
        <v>3</v>
      </c>
      <c r="J57" s="1" t="n">
        <v>70.4</v>
      </c>
      <c r="K57" s="1" t="n">
        <v>62.4</v>
      </c>
      <c r="L57" s="1" t="n">
        <v>1</v>
      </c>
      <c r="M57" s="1" t="n">
        <v>10.78</v>
      </c>
      <c r="N57" s="1" t="n">
        <f aca="false">322/1121</f>
        <v>0.2872435326</v>
      </c>
      <c r="O57" s="1" t="n">
        <v>0.328125</v>
      </c>
      <c r="P57" s="1" t="n">
        <v>0.747</v>
      </c>
      <c r="Q57" s="1" t="n">
        <v>17</v>
      </c>
      <c r="R57" s="1" t="n">
        <v>11.2</v>
      </c>
      <c r="S57" s="1" t="n">
        <v>0.6</v>
      </c>
    </row>
    <row r="58" customFormat="false" ht="12.75" hidden="false" customHeight="false" outlineLevel="0" collapsed="false">
      <c r="A58" s="1" t="s">
        <v>525</v>
      </c>
      <c r="B58" s="1" t="n">
        <v>0</v>
      </c>
      <c r="D58" s="1" t="n">
        <v>0.6186</v>
      </c>
      <c r="E58" s="1" t="n">
        <v>5</v>
      </c>
      <c r="F58" s="1" t="n">
        <v>1</v>
      </c>
      <c r="G58" s="1" t="n">
        <v>0</v>
      </c>
      <c r="H58" s="1" t="n">
        <v>0</v>
      </c>
      <c r="I58" s="1" t="n">
        <v>0</v>
      </c>
      <c r="J58" s="1" t="n">
        <v>73.7</v>
      </c>
      <c r="K58" s="1" t="n">
        <v>70.6</v>
      </c>
      <c r="L58" s="1" t="n">
        <v>0</v>
      </c>
      <c r="M58" s="1" t="n">
        <v>17.12</v>
      </c>
      <c r="N58" s="1" t="n">
        <f aca="false">352/1249</f>
        <v>0.2818254604</v>
      </c>
      <c r="O58" s="1" t="n">
        <v>0.252374491</v>
      </c>
      <c r="P58" s="1" t="n">
        <v>0.655</v>
      </c>
      <c r="Q58" s="1" t="n">
        <v>20</v>
      </c>
      <c r="R58" s="1" t="n">
        <v>6.2</v>
      </c>
      <c r="S58" s="1" t="n">
        <v>0.444444444</v>
      </c>
    </row>
    <row r="59" customFormat="false" ht="12.75" hidden="false" customHeight="false" outlineLevel="0" collapsed="false">
      <c r="A59" s="1" t="s">
        <v>133</v>
      </c>
      <c r="B59" s="1" t="n">
        <v>0</v>
      </c>
      <c r="D59" s="1" t="n">
        <v>0.813</v>
      </c>
      <c r="E59" s="1" t="n">
        <v>7</v>
      </c>
      <c r="F59" s="1" t="n">
        <v>0</v>
      </c>
      <c r="G59" s="1" t="n">
        <v>1</v>
      </c>
      <c r="H59" s="1" t="n">
        <v>7</v>
      </c>
      <c r="I59" s="1" t="n">
        <v>4</v>
      </c>
      <c r="J59" s="1" t="n">
        <v>80.6</v>
      </c>
      <c r="K59" s="1" t="n">
        <v>74.6</v>
      </c>
      <c r="L59" s="1" t="n">
        <v>1</v>
      </c>
      <c r="M59" s="1" t="n">
        <v>14.48</v>
      </c>
      <c r="N59" s="1" t="n">
        <f aca="false">359/1197</f>
        <v>0.2999164578</v>
      </c>
      <c r="O59" s="1" t="n">
        <v>0.338709677</v>
      </c>
      <c r="P59" s="1" t="n">
        <v>0.735</v>
      </c>
      <c r="Q59" s="1" t="n">
        <v>16</v>
      </c>
      <c r="R59" s="1" t="n">
        <v>7.4</v>
      </c>
      <c r="S59" s="1" t="n">
        <v>0.75</v>
      </c>
    </row>
    <row r="60" customFormat="false" ht="12.75" hidden="false" customHeight="false" outlineLevel="0" collapsed="false">
      <c r="A60" s="1" t="s">
        <v>135</v>
      </c>
      <c r="B60" s="1" t="n">
        <v>2</v>
      </c>
      <c r="D60" s="1" t="n">
        <v>0.6176</v>
      </c>
      <c r="E60" s="1" t="n">
        <v>6</v>
      </c>
      <c r="F60" s="1" t="n">
        <v>0</v>
      </c>
      <c r="G60" s="1" t="n">
        <v>1</v>
      </c>
      <c r="H60" s="1" t="n">
        <v>5</v>
      </c>
      <c r="I60" s="1" t="n">
        <v>7</v>
      </c>
      <c r="J60" s="1" t="n">
        <v>72.8</v>
      </c>
      <c r="K60" s="1" t="n">
        <v>69.5</v>
      </c>
      <c r="L60" s="1" t="n">
        <v>3</v>
      </c>
      <c r="M60" s="1" t="n">
        <v>14.09</v>
      </c>
      <c r="N60" s="1" t="n">
        <f aca="false">457/1257</f>
        <v>0.3635640414</v>
      </c>
      <c r="O60" s="1" t="n">
        <v>0.271604938</v>
      </c>
      <c r="P60" s="1" t="n">
        <v>0.727</v>
      </c>
      <c r="Q60" s="1" t="n">
        <v>14</v>
      </c>
      <c r="R60" s="1" t="n">
        <v>4.8</v>
      </c>
      <c r="S60" s="1" t="n">
        <v>0.571428571</v>
      </c>
    </row>
    <row r="61" customFormat="false" ht="12.75" hidden="false" customHeight="false" outlineLevel="0" collapsed="false">
      <c r="A61" s="1" t="s">
        <v>526</v>
      </c>
      <c r="B61" s="1" t="n">
        <v>2</v>
      </c>
      <c r="D61" s="1" t="n">
        <v>0.7308</v>
      </c>
      <c r="E61" s="1" t="n">
        <v>7</v>
      </c>
      <c r="F61" s="1" t="n">
        <v>0</v>
      </c>
      <c r="G61" s="1" t="n">
        <v>1</v>
      </c>
      <c r="H61" s="1" t="n">
        <v>10</v>
      </c>
      <c r="I61" s="1" t="n">
        <v>7</v>
      </c>
      <c r="J61" s="1" t="n">
        <v>67.1</v>
      </c>
      <c r="K61" s="1" t="n">
        <v>56.4</v>
      </c>
      <c r="L61" s="1" t="n">
        <v>1</v>
      </c>
      <c r="M61" s="1" t="n">
        <v>10.34</v>
      </c>
      <c r="N61" s="1" t="n">
        <f aca="false">274/1044</f>
        <v>0.2624521073</v>
      </c>
      <c r="O61" s="1" t="n">
        <v>0.286140089</v>
      </c>
      <c r="P61" s="1" t="n">
        <v>0.728</v>
      </c>
      <c r="Q61" s="1" t="n">
        <v>22</v>
      </c>
      <c r="R61" s="1" t="n">
        <v>16.6</v>
      </c>
      <c r="S61" s="1" t="n">
        <v>0.75</v>
      </c>
    </row>
    <row r="62" customFormat="false" ht="12.75" hidden="false" customHeight="false" outlineLevel="0" collapsed="false">
      <c r="A62" s="1" t="s">
        <v>58</v>
      </c>
      <c r="B62" s="1" t="n">
        <v>2</v>
      </c>
      <c r="D62" s="1" t="n">
        <v>0.6913</v>
      </c>
      <c r="E62" s="1" t="n">
        <v>7</v>
      </c>
      <c r="F62" s="1" t="n">
        <v>0</v>
      </c>
      <c r="G62" s="1" t="n">
        <v>1</v>
      </c>
      <c r="H62" s="1" t="n">
        <v>5</v>
      </c>
      <c r="I62" s="1" t="n">
        <v>9</v>
      </c>
      <c r="J62" s="1" t="n">
        <v>74.9</v>
      </c>
      <c r="K62" s="1" t="n">
        <v>63.9</v>
      </c>
      <c r="L62" s="1" t="n">
        <v>2</v>
      </c>
      <c r="M62" s="1" t="n">
        <v>11.15</v>
      </c>
      <c r="N62" s="1" t="n">
        <f aca="false">453/1332</f>
        <v>0.3400900901</v>
      </c>
      <c r="O62" s="1" t="n">
        <v>0.292389853</v>
      </c>
      <c r="P62" s="1" t="n">
        <v>0.689</v>
      </c>
      <c r="Q62" s="1" t="n">
        <v>16</v>
      </c>
      <c r="R62" s="1" t="n">
        <v>16.7</v>
      </c>
      <c r="S62" s="1" t="n">
        <v>0.333333333</v>
      </c>
    </row>
    <row r="63" customFormat="false" ht="12.75" hidden="false" customHeight="false" outlineLevel="0" collapsed="false">
      <c r="A63" s="1" t="s">
        <v>379</v>
      </c>
      <c r="B63" s="1" t="n">
        <v>2</v>
      </c>
      <c r="D63" s="1" t="n">
        <v>0.8095</v>
      </c>
      <c r="E63" s="1" t="n">
        <v>9</v>
      </c>
      <c r="F63" s="1" t="n">
        <v>1</v>
      </c>
      <c r="G63" s="1" t="n">
        <v>0</v>
      </c>
      <c r="H63" s="1" t="n">
        <v>0</v>
      </c>
      <c r="I63" s="1" t="n">
        <v>4</v>
      </c>
      <c r="J63" s="1" t="n">
        <v>76.8</v>
      </c>
      <c r="K63" s="1" t="n">
        <v>67.3</v>
      </c>
      <c r="L63" s="1" t="n">
        <v>0</v>
      </c>
      <c r="M63" s="1" t="n">
        <v>14.15</v>
      </c>
      <c r="N63" s="1" t="n">
        <f aca="false">455/1262</f>
        <v>0.3605388273</v>
      </c>
      <c r="O63" s="1" t="n">
        <v>0.28515625</v>
      </c>
      <c r="P63" s="1" t="n">
        <v>0.701</v>
      </c>
      <c r="Q63" s="1" t="n">
        <v>17</v>
      </c>
      <c r="R63" s="1" t="n">
        <v>10.2</v>
      </c>
      <c r="S63" s="1" t="n">
        <v>0.5</v>
      </c>
    </row>
    <row r="64" customFormat="false" ht="12.75" hidden="false" customHeight="false" outlineLevel="0" collapsed="false">
      <c r="A64" s="1" t="s">
        <v>137</v>
      </c>
      <c r="B64" s="1" t="n">
        <v>0</v>
      </c>
      <c r="D64" s="1" t="n">
        <v>0.6525</v>
      </c>
      <c r="E64" s="1" t="n">
        <v>8</v>
      </c>
      <c r="F64" s="1" t="n">
        <v>1</v>
      </c>
      <c r="G64" s="1" t="n">
        <v>0</v>
      </c>
      <c r="H64" s="1" t="n">
        <v>1</v>
      </c>
      <c r="I64" s="1" t="n">
        <v>4</v>
      </c>
      <c r="J64" s="1" t="n">
        <v>65.6</v>
      </c>
      <c r="K64" s="1" t="n">
        <v>59.6</v>
      </c>
      <c r="L64" s="1" t="n">
        <v>3</v>
      </c>
      <c r="M64" s="1" t="n">
        <v>13.09</v>
      </c>
      <c r="N64" s="1" t="n">
        <f aca="false">393/1195</f>
        <v>0.3288702929</v>
      </c>
      <c r="O64" s="1" t="n">
        <v>0.292682927</v>
      </c>
      <c r="P64" s="1" t="n">
        <v>0.591</v>
      </c>
      <c r="Q64" s="1" t="n">
        <v>17</v>
      </c>
      <c r="R64" s="1" t="n">
        <v>9.8</v>
      </c>
      <c r="S64" s="1" t="n">
        <v>0.142857143</v>
      </c>
    </row>
    <row r="65" customFormat="false" ht="12.75" hidden="false" customHeight="false" outlineLevel="0" collapsed="false">
      <c r="A65" s="1" t="s">
        <v>138</v>
      </c>
      <c r="B65" s="1" t="n">
        <v>2</v>
      </c>
      <c r="D65" s="1" t="n">
        <v>0.8693</v>
      </c>
      <c r="E65" s="1" t="n">
        <v>10</v>
      </c>
      <c r="F65" s="1" t="n">
        <v>1</v>
      </c>
      <c r="G65" s="1" t="n">
        <v>1</v>
      </c>
      <c r="H65" s="1" t="n">
        <v>6</v>
      </c>
      <c r="I65" s="1" t="n">
        <v>4</v>
      </c>
      <c r="J65" s="1" t="n">
        <v>67.3</v>
      </c>
      <c r="K65" s="1" t="n">
        <v>54.4</v>
      </c>
      <c r="L65" s="1" t="n">
        <v>3</v>
      </c>
      <c r="M65" s="1" t="n">
        <v>12.09</v>
      </c>
      <c r="N65" s="1" t="n">
        <f aca="false">419/1292</f>
        <v>0.3243034056</v>
      </c>
      <c r="O65" s="1" t="n">
        <v>0.258543834</v>
      </c>
      <c r="P65" s="1" t="n">
        <v>0.705</v>
      </c>
      <c r="Q65" s="1" t="n">
        <v>18</v>
      </c>
      <c r="R65" s="1" t="n">
        <v>10.6</v>
      </c>
      <c r="S65" s="1" t="n">
        <v>0.625</v>
      </c>
    </row>
    <row r="66" customFormat="false" ht="12.75" hidden="false" customHeight="false" outlineLevel="0" collapsed="false">
      <c r="A66" s="1" t="s">
        <v>36</v>
      </c>
      <c r="B66" s="1" t="n">
        <v>3</v>
      </c>
      <c r="D66" s="1" t="n">
        <v>0.8298</v>
      </c>
      <c r="E66" s="1" t="n">
        <v>8</v>
      </c>
      <c r="F66" s="1" t="n">
        <v>0</v>
      </c>
      <c r="G66" s="1" t="n">
        <v>0</v>
      </c>
      <c r="H66" s="1" t="n">
        <v>6</v>
      </c>
      <c r="I66" s="1" t="n">
        <v>4</v>
      </c>
      <c r="J66" s="1" t="n">
        <v>75.3</v>
      </c>
      <c r="K66" s="1" t="n">
        <v>63.4</v>
      </c>
      <c r="L66" s="1" t="n">
        <v>2</v>
      </c>
      <c r="M66" s="1" t="n">
        <v>13.27</v>
      </c>
      <c r="N66" s="1" t="n">
        <f aca="false">370/1202</f>
        <v>0.3078202995</v>
      </c>
      <c r="O66" s="1" t="n">
        <v>0.310756972</v>
      </c>
      <c r="P66" s="1" t="n">
        <v>0.749</v>
      </c>
      <c r="Q66" s="1" t="n">
        <v>20</v>
      </c>
      <c r="R66" s="1" t="n">
        <v>17.8</v>
      </c>
      <c r="S66" s="1" t="n">
        <v>0.75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RowHeight="12.75" zeroHeight="false" outlineLevelRow="0" outlineLevelCol="0"/>
  <cols>
    <col collapsed="false" customWidth="true" hidden="false" outlineLevel="0" max="1" min="1" style="0" width="25.71"/>
    <col collapsed="false" customWidth="true" hidden="false" outlineLevel="0" max="20" min="2" style="0" width="17.29"/>
    <col collapsed="false" customWidth="true" hidden="false" outlineLevel="0" max="21" min="21" style="0" width="17.43"/>
    <col collapsed="false" customWidth="true" hidden="false" outlineLevel="0" max="22" min="22" style="0" width="17.29"/>
    <col collapsed="false" customWidth="true" hidden="false" outlineLevel="0" max="1025" min="23" style="0" width="14.43"/>
  </cols>
  <sheetData>
    <row r="1" customFormat="false" ht="12.75" hidden="false" customHeight="false" outlineLevel="0" collapsed="false">
      <c r="A1" s="1" t="s">
        <v>2</v>
      </c>
      <c r="B1" s="1" t="s">
        <v>213</v>
      </c>
      <c r="D1" s="1" t="s">
        <v>473</v>
      </c>
      <c r="E1" s="1" t="s">
        <v>498</v>
      </c>
      <c r="F1" s="1" t="s">
        <v>442</v>
      </c>
      <c r="G1" s="1" t="s">
        <v>443</v>
      </c>
      <c r="H1" s="1" t="s">
        <v>444</v>
      </c>
      <c r="I1" s="1" t="s">
        <v>445</v>
      </c>
      <c r="J1" s="1" t="s">
        <v>474</v>
      </c>
      <c r="K1" s="1" t="s">
        <v>475</v>
      </c>
      <c r="L1" s="1" t="s">
        <v>446</v>
      </c>
      <c r="M1" s="1" t="s">
        <v>447</v>
      </c>
      <c r="N1" s="1" t="s">
        <v>448</v>
      </c>
      <c r="O1" s="1" t="s">
        <v>476</v>
      </c>
      <c r="P1" s="1" t="s">
        <v>527</v>
      </c>
      <c r="Q1" s="1" t="s">
        <v>528</v>
      </c>
      <c r="R1" s="1" t="s">
        <v>529</v>
      </c>
      <c r="S1" s="1" t="s">
        <v>530</v>
      </c>
      <c r="T1" s="1" t="s">
        <v>451</v>
      </c>
      <c r="U1" s="1" t="s">
        <v>531</v>
      </c>
      <c r="V1" s="1" t="s">
        <v>453</v>
      </c>
    </row>
    <row r="2" customFormat="false" ht="12.75" hidden="false" customHeight="false" outlineLevel="0" collapsed="false">
      <c r="A2" s="1" t="s">
        <v>239</v>
      </c>
      <c r="B2" s="1" t="n">
        <v>0</v>
      </c>
      <c r="D2" s="1" t="n">
        <v>0.7667</v>
      </c>
      <c r="E2" s="1" t="n">
        <v>8</v>
      </c>
      <c r="F2" s="1" t="n">
        <v>1</v>
      </c>
      <c r="G2" s="1" t="n">
        <v>0</v>
      </c>
      <c r="H2" s="1" t="n">
        <v>0</v>
      </c>
      <c r="I2" s="1" t="n">
        <v>1</v>
      </c>
      <c r="J2" s="1" t="n">
        <v>68.3</v>
      </c>
      <c r="K2" s="1" t="n">
        <v>64.8</v>
      </c>
      <c r="L2" s="1" t="n">
        <v>1</v>
      </c>
      <c r="M2" s="1" t="n">
        <v>13.38</v>
      </c>
      <c r="N2" s="1" t="n">
        <v>0.323827047</v>
      </c>
      <c r="O2" s="1" t="n">
        <f aca="false">P2*3/(P2*3+Q2*2+R2)</f>
        <v>0.300824175824176</v>
      </c>
      <c r="P2" s="1" t="n">
        <v>219</v>
      </c>
      <c r="Q2" s="1" t="n">
        <v>557</v>
      </c>
      <c r="R2" s="1" t="n">
        <v>413</v>
      </c>
      <c r="S2" s="1" t="n">
        <v>0.722</v>
      </c>
      <c r="T2" s="1" t="n">
        <v>17</v>
      </c>
      <c r="U2" s="1" t="n">
        <v>4.4</v>
      </c>
      <c r="V2" s="1" t="n">
        <f aca="false">8/11</f>
        <v>0.7272727273</v>
      </c>
    </row>
    <row r="3" customFormat="false" ht="12.75" hidden="false" customHeight="false" outlineLevel="0" collapsed="false">
      <c r="A3" s="1" t="s">
        <v>26</v>
      </c>
      <c r="B3" s="1" t="n">
        <v>0</v>
      </c>
      <c r="D3" s="1" t="n">
        <v>0.6389</v>
      </c>
      <c r="E3" s="1" t="n">
        <v>6</v>
      </c>
      <c r="F3" s="1" t="n">
        <v>0</v>
      </c>
      <c r="G3" s="1" t="n">
        <v>1</v>
      </c>
      <c r="H3" s="1" t="n">
        <v>8</v>
      </c>
      <c r="I3" s="1" t="n">
        <v>10</v>
      </c>
      <c r="J3" s="1" t="n">
        <v>78.5</v>
      </c>
      <c r="K3" s="1" t="n">
        <v>72.5</v>
      </c>
      <c r="L3" s="1" t="n">
        <v>3</v>
      </c>
      <c r="M3" s="1" t="n">
        <v>13.73</v>
      </c>
      <c r="N3" s="1" t="n">
        <v>0.329484902</v>
      </c>
      <c r="O3" s="1" t="n">
        <f aca="false">P3*3/(P3*3+Q3*2+R3)</f>
        <v>0.21410365335599</v>
      </c>
      <c r="P3" s="1" t="n">
        <v>168</v>
      </c>
      <c r="Q3" s="1" t="n">
        <v>657</v>
      </c>
      <c r="R3" s="1" t="n">
        <v>536</v>
      </c>
      <c r="S3" s="1" t="n">
        <v>0.75</v>
      </c>
      <c r="T3" s="1" t="n">
        <v>15</v>
      </c>
      <c r="U3" s="1" t="n">
        <v>7.9</v>
      </c>
      <c r="V3" s="1" t="n">
        <f aca="false">4/9</f>
        <v>0.4444444444</v>
      </c>
    </row>
    <row r="4" customFormat="false" ht="12.75" hidden="false" customHeight="false" outlineLevel="0" collapsed="false">
      <c r="A4" s="1" t="s">
        <v>67</v>
      </c>
      <c r="B4" s="1" t="n">
        <v>0</v>
      </c>
      <c r="D4" s="1" t="n">
        <v>0.6014</v>
      </c>
      <c r="E4" s="1" t="n">
        <v>6</v>
      </c>
      <c r="F4" s="1" t="n">
        <v>0</v>
      </c>
      <c r="G4" s="1" t="n">
        <v>1</v>
      </c>
      <c r="H4" s="1" t="n">
        <v>5</v>
      </c>
      <c r="I4" s="1" t="n">
        <v>6</v>
      </c>
      <c r="J4" s="1" t="n">
        <v>71.4</v>
      </c>
      <c r="K4" s="1" t="n">
        <v>66</v>
      </c>
      <c r="L4" s="1" t="n">
        <v>1</v>
      </c>
      <c r="M4" s="1" t="n">
        <v>15.32</v>
      </c>
      <c r="N4" s="1" t="n">
        <v>0.316487158</v>
      </c>
      <c r="O4" s="1" t="n">
        <f aca="false">P4*3/(P4*3+Q4*2+R4)</f>
        <v>0.258343634116193</v>
      </c>
      <c r="P4" s="1" t="n">
        <v>209</v>
      </c>
      <c r="Q4" s="1" t="n">
        <v>651</v>
      </c>
      <c r="R4" s="1" t="n">
        <v>498</v>
      </c>
      <c r="S4" s="1" t="n">
        <v>0.703</v>
      </c>
      <c r="T4" s="1" t="n">
        <v>14</v>
      </c>
      <c r="U4" s="1" t="n">
        <v>7.4</v>
      </c>
      <c r="V4" s="1" t="n">
        <v>0.2</v>
      </c>
    </row>
    <row r="5" customFormat="false" ht="12.75" hidden="false" customHeight="false" outlineLevel="0" collapsed="false">
      <c r="A5" s="1" t="s">
        <v>240</v>
      </c>
      <c r="B5" s="1" t="n">
        <v>0</v>
      </c>
      <c r="D5" s="1" t="n">
        <v>0.7417</v>
      </c>
      <c r="E5" s="1" t="n">
        <v>9</v>
      </c>
      <c r="F5" s="1" t="n">
        <v>1</v>
      </c>
      <c r="G5" s="1" t="n">
        <v>0</v>
      </c>
      <c r="H5" s="1" t="n">
        <v>0</v>
      </c>
      <c r="I5" s="1" t="n">
        <v>2</v>
      </c>
      <c r="J5" s="1" t="n">
        <v>73</v>
      </c>
      <c r="K5" s="1" t="n">
        <v>67</v>
      </c>
      <c r="L5" s="1" t="n">
        <v>1</v>
      </c>
      <c r="M5" s="1" t="n">
        <v>16.13</v>
      </c>
      <c r="N5" s="1" t="n">
        <v>0.298831386</v>
      </c>
      <c r="O5" s="1" t="n">
        <f aca="false">P5*3/(P5*3+Q5*2+R5)</f>
        <v>0.362312633832976</v>
      </c>
      <c r="P5" s="1" t="n">
        <v>282</v>
      </c>
      <c r="Q5" s="1" t="n">
        <v>546</v>
      </c>
      <c r="R5" s="1" t="n">
        <v>397</v>
      </c>
      <c r="S5" s="1" t="n">
        <v>0.692</v>
      </c>
      <c r="T5" s="1" t="n">
        <v>17</v>
      </c>
      <c r="U5" s="1" t="n">
        <v>11.5</v>
      </c>
      <c r="V5" s="1" t="n">
        <f aca="false">4/6</f>
        <v>0.6666666667</v>
      </c>
    </row>
    <row r="6" customFormat="false" ht="12.75" hidden="false" customHeight="false" outlineLevel="0" collapsed="false">
      <c r="A6" s="1" t="s">
        <v>504</v>
      </c>
      <c r="B6" s="1" t="n">
        <v>2</v>
      </c>
      <c r="D6" s="1" t="n">
        <v>0.6165</v>
      </c>
      <c r="E6" s="1" t="n">
        <v>5</v>
      </c>
      <c r="F6" s="1" t="n">
        <v>0</v>
      </c>
      <c r="G6" s="1" t="n">
        <v>1</v>
      </c>
      <c r="H6" s="1" t="n">
        <v>4</v>
      </c>
      <c r="I6" s="1" t="n">
        <v>7</v>
      </c>
      <c r="J6" s="1" t="n">
        <v>74.6</v>
      </c>
      <c r="K6" s="1" t="n">
        <v>69.8</v>
      </c>
      <c r="L6" s="1" t="n">
        <v>3</v>
      </c>
      <c r="M6" s="1" t="n">
        <v>14.13</v>
      </c>
      <c r="N6" s="1" t="n">
        <v>0.341713222</v>
      </c>
      <c r="O6" s="1" t="n">
        <f aca="false">P6*3/(P6*3+Q6*2+R6)</f>
        <v>0.235955056179775</v>
      </c>
      <c r="P6" s="1" t="n">
        <v>182</v>
      </c>
      <c r="Q6" s="1" t="n">
        <v>609</v>
      </c>
      <c r="R6" s="1" t="n">
        <v>550</v>
      </c>
      <c r="S6" s="1" t="n">
        <v>0.724</v>
      </c>
      <c r="T6" s="1" t="n">
        <v>17</v>
      </c>
      <c r="U6" s="1" t="n">
        <v>6.9</v>
      </c>
      <c r="V6" s="1" t="n">
        <v>0.384615385</v>
      </c>
    </row>
    <row r="7" customFormat="false" ht="12.75" hidden="false" customHeight="false" outlineLevel="0" collapsed="false">
      <c r="A7" s="1" t="s">
        <v>68</v>
      </c>
      <c r="B7" s="1" t="n">
        <v>2</v>
      </c>
      <c r="D7" s="1" t="n">
        <v>0.8129</v>
      </c>
      <c r="E7" s="1" t="n">
        <v>6</v>
      </c>
      <c r="F7" s="1" t="n">
        <v>0</v>
      </c>
      <c r="G7" s="1" t="n">
        <v>0</v>
      </c>
      <c r="H7" s="1" t="n">
        <v>6</v>
      </c>
      <c r="I7" s="1" t="n">
        <v>3</v>
      </c>
      <c r="J7" s="1" t="n">
        <v>68.4</v>
      </c>
      <c r="K7" s="1" t="n">
        <v>57.2</v>
      </c>
      <c r="L7" s="1" t="n">
        <v>0</v>
      </c>
      <c r="M7" s="1" t="n">
        <v>9.36</v>
      </c>
      <c r="N7" s="1" t="n">
        <v>0.302538071</v>
      </c>
      <c r="O7" s="1" t="n">
        <f aca="false">P7*3/(P7*3+Q7*2+R7)</f>
        <v>0.389282550930027</v>
      </c>
      <c r="P7" s="1" t="n">
        <v>293</v>
      </c>
      <c r="Q7" s="1" t="n">
        <v>425</v>
      </c>
      <c r="R7" s="1" t="n">
        <v>529</v>
      </c>
      <c r="S7" s="1" t="n">
        <v>0.76</v>
      </c>
      <c r="T7" s="1" t="n">
        <v>21</v>
      </c>
      <c r="U7" s="1" t="n">
        <v>17.5</v>
      </c>
      <c r="V7" s="1" t="n">
        <v>0.6</v>
      </c>
    </row>
    <row r="8" customFormat="false" ht="12.75" hidden="false" customHeight="false" outlineLevel="0" collapsed="false">
      <c r="A8" s="1" t="s">
        <v>242</v>
      </c>
      <c r="B8" s="1" t="n">
        <v>0</v>
      </c>
      <c r="D8" s="1" t="n">
        <v>0.7937</v>
      </c>
      <c r="E8" s="1" t="n">
        <v>8</v>
      </c>
      <c r="F8" s="1" t="n">
        <v>0</v>
      </c>
      <c r="G8" s="1" t="n">
        <v>0</v>
      </c>
      <c r="H8" s="1" t="n">
        <v>3</v>
      </c>
      <c r="I8" s="1" t="n">
        <v>4</v>
      </c>
      <c r="J8" s="1" t="n">
        <v>78.1</v>
      </c>
      <c r="K8" s="1" t="n">
        <v>69.9</v>
      </c>
      <c r="L8" s="1" t="n">
        <v>1</v>
      </c>
      <c r="M8" s="1" t="n">
        <v>13.52</v>
      </c>
      <c r="N8" s="1" t="n">
        <v>0.322554568</v>
      </c>
      <c r="O8" s="1" t="n">
        <f aca="false">P8*3/(P8*3+Q8*2+R8)</f>
        <v>0.287543655413271</v>
      </c>
      <c r="P8" s="1" t="n">
        <v>247</v>
      </c>
      <c r="Q8" s="1" t="n">
        <v>696</v>
      </c>
      <c r="R8" s="1" t="n">
        <v>444</v>
      </c>
      <c r="S8" s="1" t="n">
        <v>0.66</v>
      </c>
      <c r="T8" s="1" t="n">
        <v>17</v>
      </c>
      <c r="U8" s="1" t="n">
        <v>13.1</v>
      </c>
      <c r="V8" s="1" t="n">
        <f aca="false">3/5</f>
        <v>0.6</v>
      </c>
    </row>
    <row r="9" customFormat="false" ht="12.75" hidden="false" customHeight="false" outlineLevel="0" collapsed="false">
      <c r="A9" s="1" t="s">
        <v>532</v>
      </c>
      <c r="B9" s="1" t="n">
        <v>0</v>
      </c>
      <c r="D9" s="1" t="n">
        <v>0.6497</v>
      </c>
      <c r="E9" s="1" t="n">
        <v>9</v>
      </c>
      <c r="F9" s="1" t="n">
        <v>1</v>
      </c>
      <c r="G9" s="1" t="n">
        <v>0</v>
      </c>
      <c r="H9" s="1" t="n">
        <v>0</v>
      </c>
      <c r="I9" s="1" t="n">
        <v>1</v>
      </c>
      <c r="J9" s="1" t="n">
        <v>69.3</v>
      </c>
      <c r="K9" s="1" t="n">
        <v>66.1</v>
      </c>
      <c r="L9" s="1" t="n">
        <v>0</v>
      </c>
      <c r="M9" s="1" t="n">
        <v>14.21</v>
      </c>
      <c r="N9" s="1" t="n">
        <v>0.342584562</v>
      </c>
      <c r="O9" s="1" t="n">
        <f aca="false">P9*3/(P9*3+Q9*2+R9)</f>
        <v>0.330564057717534</v>
      </c>
      <c r="P9" s="1" t="n">
        <v>252</v>
      </c>
      <c r="Q9" s="1" t="n">
        <v>519</v>
      </c>
      <c r="R9" s="1" t="n">
        <v>493</v>
      </c>
      <c r="S9" s="1" t="n">
        <v>0.73</v>
      </c>
      <c r="T9" s="1" t="n">
        <v>17</v>
      </c>
      <c r="U9" s="1" t="n">
        <v>4.4</v>
      </c>
      <c r="V9" s="1" t="n">
        <v>0.7</v>
      </c>
    </row>
    <row r="10" customFormat="false" ht="12.75" hidden="false" customHeight="false" outlineLevel="0" collapsed="false">
      <c r="A10" s="1" t="s">
        <v>22</v>
      </c>
      <c r="B10" s="1" t="n">
        <v>0</v>
      </c>
      <c r="D10" s="1" t="n">
        <v>0.7164</v>
      </c>
      <c r="E10" s="1" t="n">
        <v>7</v>
      </c>
      <c r="F10" s="1" t="n">
        <v>1</v>
      </c>
      <c r="G10" s="1" t="n">
        <v>0</v>
      </c>
      <c r="H10" s="1" t="n">
        <v>2</v>
      </c>
      <c r="I10" s="1" t="n">
        <v>2</v>
      </c>
      <c r="J10" s="1" t="n">
        <v>67.2</v>
      </c>
      <c r="K10" s="1" t="n">
        <v>60.9</v>
      </c>
      <c r="L10" s="1" t="n">
        <v>1</v>
      </c>
      <c r="M10" s="1" t="n">
        <v>12.84</v>
      </c>
      <c r="N10" s="1" t="n">
        <v>0.313632031</v>
      </c>
      <c r="O10" s="1" t="n">
        <f aca="false">P10*3/(P10*3+Q10*2+R10)</f>
        <v>0.281991624011168</v>
      </c>
      <c r="P10" s="1" t="n">
        <v>202</v>
      </c>
      <c r="Q10" s="1" t="n">
        <v>508</v>
      </c>
      <c r="R10" s="1" t="n">
        <v>527</v>
      </c>
      <c r="S10" s="1" t="n">
        <v>0.754</v>
      </c>
      <c r="T10" s="1" t="n">
        <v>17</v>
      </c>
      <c r="U10" s="1" t="n">
        <v>10</v>
      </c>
      <c r="V10" s="1" t="n">
        <f aca="false">5/9</f>
        <v>0.5555555556</v>
      </c>
    </row>
    <row r="11" customFormat="false" ht="12.75" hidden="false" customHeight="false" outlineLevel="0" collapsed="false">
      <c r="A11" s="1" t="s">
        <v>25</v>
      </c>
      <c r="B11" s="1" t="n">
        <v>0</v>
      </c>
      <c r="D11" s="1" t="n">
        <v>0.594</v>
      </c>
      <c r="E11" s="1" t="n">
        <v>10</v>
      </c>
      <c r="F11" s="1" t="n">
        <v>1</v>
      </c>
      <c r="G11" s="1" t="n">
        <v>0</v>
      </c>
      <c r="H11" s="1" t="n">
        <v>1</v>
      </c>
      <c r="I11" s="1" t="n">
        <v>1</v>
      </c>
      <c r="J11" s="1" t="n">
        <v>81.7</v>
      </c>
      <c r="K11" s="1" t="n">
        <v>68.7</v>
      </c>
      <c r="L11" s="1" t="n">
        <v>1</v>
      </c>
      <c r="M11" s="1" t="n">
        <v>14.48</v>
      </c>
      <c r="N11" s="1" t="n">
        <v>0.33655994</v>
      </c>
      <c r="O11" s="1" t="n">
        <f aca="false">P11*3/(P11*3+Q11*2+R11)</f>
        <v>0.353988868274583</v>
      </c>
      <c r="P11" s="1" t="n">
        <v>318</v>
      </c>
      <c r="Q11" s="1" t="n">
        <v>627</v>
      </c>
      <c r="R11" s="1" t="n">
        <v>487</v>
      </c>
      <c r="S11" s="1" t="n">
        <v>0.753</v>
      </c>
      <c r="T11" s="1" t="n">
        <v>13</v>
      </c>
      <c r="U11" s="1" t="n">
        <v>17.2</v>
      </c>
      <c r="V11" s="1" t="n">
        <v>1</v>
      </c>
    </row>
    <row r="12" customFormat="false" ht="12.75" hidden="false" customHeight="false" outlineLevel="0" collapsed="false">
      <c r="A12" s="1" t="s">
        <v>86</v>
      </c>
      <c r="B12" s="1" t="n">
        <v>0</v>
      </c>
      <c r="D12" s="1" t="n">
        <v>0.6429</v>
      </c>
      <c r="E12" s="1" t="n">
        <v>4</v>
      </c>
      <c r="F12" s="1" t="n">
        <v>0</v>
      </c>
      <c r="G12" s="1" t="n">
        <v>1</v>
      </c>
      <c r="H12" s="1" t="n">
        <v>8</v>
      </c>
      <c r="I12" s="1" t="n">
        <v>8</v>
      </c>
      <c r="J12" s="1" t="n">
        <v>70.2</v>
      </c>
      <c r="K12" s="1" t="n">
        <v>62</v>
      </c>
      <c r="L12" s="1" t="n">
        <v>3</v>
      </c>
      <c r="M12" s="1" t="n">
        <v>15.38</v>
      </c>
      <c r="N12" s="1" t="n">
        <v>0.321460374</v>
      </c>
      <c r="O12" s="1" t="n">
        <f aca="false">P12*3/(P12*3+Q12*2+R12)</f>
        <v>0.260463045414069</v>
      </c>
      <c r="P12" s="1" t="n">
        <v>195</v>
      </c>
      <c r="Q12" s="1" t="n">
        <v>600</v>
      </c>
      <c r="R12" s="1" t="n">
        <v>461</v>
      </c>
      <c r="S12" s="1" t="n">
        <v>0.689</v>
      </c>
      <c r="T12" s="1" t="n">
        <v>11</v>
      </c>
      <c r="U12" s="1" t="n">
        <v>12.5</v>
      </c>
      <c r="V12" s="1" t="n">
        <v>0.375</v>
      </c>
    </row>
    <row r="13" customFormat="false" ht="12.75" hidden="false" customHeight="false" outlineLevel="0" collapsed="false">
      <c r="A13" s="1" t="s">
        <v>320</v>
      </c>
      <c r="B13" s="1" t="n">
        <v>0</v>
      </c>
      <c r="D13" s="1" t="n">
        <v>0.6739</v>
      </c>
      <c r="E13" s="1" t="n">
        <v>8</v>
      </c>
      <c r="F13" s="1" t="n">
        <v>1</v>
      </c>
      <c r="G13" s="1" t="n">
        <v>0</v>
      </c>
      <c r="H13" s="1" t="n">
        <v>0</v>
      </c>
      <c r="I13" s="1" t="n">
        <v>2</v>
      </c>
      <c r="J13" s="1" t="n">
        <v>65.2</v>
      </c>
      <c r="K13" s="1" t="n">
        <v>64.2</v>
      </c>
      <c r="L13" s="1" t="n">
        <v>1</v>
      </c>
      <c r="M13" s="1" t="n">
        <v>13.44</v>
      </c>
      <c r="N13" s="1" t="n">
        <v>0.299781182</v>
      </c>
      <c r="O13" s="1" t="n">
        <f aca="false">P13*3/(P13*3+Q13*2+R13)</f>
        <v>0.37104506232023</v>
      </c>
      <c r="P13" s="1" t="n">
        <v>258</v>
      </c>
      <c r="Q13" s="1" t="n">
        <v>496</v>
      </c>
      <c r="R13" s="1" t="n">
        <v>320</v>
      </c>
      <c r="S13" s="1" t="n">
        <v>0.68</v>
      </c>
      <c r="T13" s="1" t="n">
        <v>17</v>
      </c>
      <c r="U13" s="1" t="n">
        <v>3</v>
      </c>
      <c r="V13" s="1" t="n">
        <v>0.7</v>
      </c>
    </row>
    <row r="14" customFormat="false" ht="12.75" hidden="false" customHeight="false" outlineLevel="0" collapsed="false">
      <c r="A14" s="1" t="s">
        <v>62</v>
      </c>
      <c r="B14" s="1" t="n">
        <v>6</v>
      </c>
      <c r="D14" s="1" t="n">
        <v>0.875</v>
      </c>
      <c r="E14" s="1" t="n">
        <v>7</v>
      </c>
      <c r="F14" s="1" t="n">
        <v>1</v>
      </c>
      <c r="G14" s="1" t="n">
        <v>1</v>
      </c>
      <c r="H14" s="1" t="n">
        <v>8</v>
      </c>
      <c r="I14" s="1" t="n">
        <v>3</v>
      </c>
      <c r="J14" s="1" t="n">
        <v>79.3</v>
      </c>
      <c r="K14" s="1" t="n">
        <v>63.2</v>
      </c>
      <c r="L14" s="1" t="n">
        <v>3</v>
      </c>
      <c r="M14" s="1" t="n">
        <v>14</v>
      </c>
      <c r="N14" s="1" t="n">
        <v>0.298259494</v>
      </c>
      <c r="O14" s="1" t="n">
        <f aca="false">P14*3/(P14*3+Q14*2+R14)</f>
        <v>0.271412680756396</v>
      </c>
      <c r="P14" s="1" t="n">
        <v>244</v>
      </c>
      <c r="Q14" s="1" t="n">
        <v>727</v>
      </c>
      <c r="R14" s="1" t="n">
        <v>511</v>
      </c>
      <c r="S14" s="1" t="n">
        <v>0.69</v>
      </c>
      <c r="T14" s="1" t="n">
        <v>17</v>
      </c>
      <c r="U14" s="1" t="n">
        <v>25.5</v>
      </c>
      <c r="V14" s="1" t="n">
        <v>0.6</v>
      </c>
    </row>
    <row r="15" customFormat="false" ht="12.75" hidden="false" customHeight="false" outlineLevel="0" collapsed="false">
      <c r="A15" s="1" t="s">
        <v>533</v>
      </c>
      <c r="B15" s="1" t="n">
        <v>0</v>
      </c>
      <c r="C15" s="27"/>
      <c r="D15" s="1" t="n">
        <v>0.6277</v>
      </c>
      <c r="E15" s="1" t="n">
        <v>8</v>
      </c>
      <c r="F15" s="1" t="n">
        <v>1</v>
      </c>
      <c r="G15" s="1" t="n">
        <v>0</v>
      </c>
      <c r="H15" s="1" t="n">
        <v>0</v>
      </c>
      <c r="I15" s="1" t="n">
        <v>5</v>
      </c>
      <c r="J15" s="1" t="n">
        <v>70.5</v>
      </c>
      <c r="K15" s="1" t="n">
        <v>70.8</v>
      </c>
      <c r="L15" s="1" t="n">
        <v>1</v>
      </c>
      <c r="M15" s="1" t="n">
        <v>17.94</v>
      </c>
      <c r="N15" s="1" t="n">
        <v>0.348278623</v>
      </c>
      <c r="O15" s="1" t="n">
        <f aca="false">P15*3/(P15*3+Q15*2+R15)</f>
        <v>0.256463719766472</v>
      </c>
      <c r="P15" s="1" t="n">
        <v>205</v>
      </c>
      <c r="Q15" s="1" t="n">
        <v>612</v>
      </c>
      <c r="R15" s="1" t="n">
        <v>559</v>
      </c>
      <c r="S15" s="1" t="n">
        <v>0.662</v>
      </c>
      <c r="T15" s="1" t="n">
        <v>12</v>
      </c>
      <c r="U15" s="1" t="n">
        <v>0</v>
      </c>
      <c r="V15" s="1" t="n">
        <v>0.7</v>
      </c>
    </row>
    <row r="16" customFormat="false" ht="12.75" hidden="false" customHeight="false" outlineLevel="0" collapsed="false">
      <c r="A16" s="1" t="s">
        <v>321</v>
      </c>
      <c r="B16" s="1" t="n">
        <v>0</v>
      </c>
      <c r="D16" s="1" t="n">
        <v>0.7594</v>
      </c>
      <c r="E16" s="1" t="n">
        <v>8</v>
      </c>
      <c r="F16" s="1" t="n">
        <v>1</v>
      </c>
      <c r="G16" s="1" t="n">
        <v>0</v>
      </c>
      <c r="H16" s="1" t="n">
        <v>1</v>
      </c>
      <c r="I16" s="1" t="n">
        <v>2</v>
      </c>
      <c r="J16" s="1" t="n">
        <v>71.1</v>
      </c>
      <c r="K16" s="1" t="n">
        <v>65.2</v>
      </c>
      <c r="L16" s="1" t="n">
        <v>2</v>
      </c>
      <c r="M16" s="1" t="n">
        <v>13.68</v>
      </c>
      <c r="N16" s="1" t="n">
        <v>0.355787476</v>
      </c>
      <c r="O16" s="1" t="n">
        <f aca="false">P16*3/(P16*3+Q16*2+R16)</f>
        <v>0.228778937812074</v>
      </c>
      <c r="P16" s="1" t="n">
        <v>168</v>
      </c>
      <c r="Q16" s="1" t="n">
        <v>643</v>
      </c>
      <c r="R16" s="1" t="n">
        <v>413</v>
      </c>
      <c r="S16" s="1" t="n">
        <v>0.7</v>
      </c>
      <c r="T16" s="1" t="n">
        <v>18</v>
      </c>
      <c r="U16" s="1" t="n">
        <v>8.4</v>
      </c>
      <c r="V16" s="1" t="n">
        <v>1</v>
      </c>
    </row>
    <row r="17" customFormat="false" ht="12.75" hidden="false" customHeight="false" outlineLevel="0" collapsed="false">
      <c r="A17" s="1" t="s">
        <v>246</v>
      </c>
      <c r="B17" s="1" t="n">
        <v>4</v>
      </c>
      <c r="D17" s="1" t="n">
        <v>0.8</v>
      </c>
      <c r="E17" s="1" t="n">
        <v>9</v>
      </c>
      <c r="F17" s="1" t="n">
        <v>1</v>
      </c>
      <c r="G17" s="1" t="n">
        <v>1</v>
      </c>
      <c r="H17" s="1" t="n">
        <v>10</v>
      </c>
      <c r="I17" s="1" t="n">
        <v>5</v>
      </c>
      <c r="J17" s="1" t="n">
        <v>68.5</v>
      </c>
      <c r="K17" s="1" t="n">
        <v>58.7</v>
      </c>
      <c r="L17" s="1" t="n">
        <v>1</v>
      </c>
      <c r="M17" s="1" t="n">
        <v>13.75</v>
      </c>
      <c r="N17" s="1" t="n">
        <v>0.323004695</v>
      </c>
      <c r="O17" s="1" t="n">
        <f aca="false">P17*3/(P17*3+Q17*2+R17)</f>
        <v>0.275216795983569</v>
      </c>
      <c r="P17" s="1" t="n">
        <v>201</v>
      </c>
      <c r="Q17" s="1" t="n">
        <v>583</v>
      </c>
      <c r="R17" s="1" t="n">
        <v>422</v>
      </c>
      <c r="S17" s="1" t="n">
        <v>0.711</v>
      </c>
      <c r="T17" s="1" t="n">
        <v>14</v>
      </c>
      <c r="U17" s="1" t="n">
        <v>18.3</v>
      </c>
      <c r="V17" s="1" t="n">
        <v>0.5</v>
      </c>
    </row>
    <row r="18" customFormat="false" ht="12.75" hidden="false" customHeight="false" outlineLevel="0" collapsed="false">
      <c r="A18" s="1" t="s">
        <v>482</v>
      </c>
      <c r="B18" s="1" t="n">
        <v>0</v>
      </c>
      <c r="D18" s="1" t="n">
        <v>0.6239</v>
      </c>
      <c r="E18" s="1" t="n">
        <v>7</v>
      </c>
      <c r="F18" s="1" t="n">
        <v>0</v>
      </c>
      <c r="G18" s="1" t="n">
        <v>1</v>
      </c>
      <c r="H18" s="1" t="n">
        <v>6</v>
      </c>
      <c r="I18" s="1" t="n">
        <v>7</v>
      </c>
      <c r="J18" s="1" t="n">
        <v>79.1</v>
      </c>
      <c r="K18" s="1" t="n">
        <v>70.2</v>
      </c>
      <c r="L18" s="1" t="n">
        <v>2</v>
      </c>
      <c r="M18" s="1" t="n">
        <v>15.87</v>
      </c>
      <c r="N18" s="1" t="n">
        <v>0.376888889</v>
      </c>
      <c r="O18" s="1" t="n">
        <f aca="false">P18*3/(P18*3+Q18*2+R18)</f>
        <v>0.242251223491028</v>
      </c>
      <c r="P18" s="1" t="n">
        <v>198</v>
      </c>
      <c r="Q18" s="1" t="n">
        <v>712</v>
      </c>
      <c r="R18" s="1" t="n">
        <v>434</v>
      </c>
      <c r="S18" s="1" t="n">
        <v>0.681</v>
      </c>
      <c r="T18" s="1" t="n">
        <v>13</v>
      </c>
      <c r="U18" s="1" t="n">
        <v>12.9</v>
      </c>
      <c r="V18" s="1" t="n">
        <v>0.2</v>
      </c>
    </row>
    <row r="19" customFormat="false" ht="12.75" hidden="false" customHeight="false" outlineLevel="0" collapsed="false">
      <c r="A19" s="1" t="s">
        <v>43</v>
      </c>
      <c r="B19" s="1" t="n">
        <v>0</v>
      </c>
      <c r="D19" s="1" t="n">
        <v>0.6871</v>
      </c>
      <c r="E19" s="1" t="n">
        <v>7</v>
      </c>
      <c r="F19" s="1" t="n">
        <v>1</v>
      </c>
      <c r="G19" s="1" t="n">
        <v>0</v>
      </c>
      <c r="H19" s="1" t="n">
        <v>3</v>
      </c>
      <c r="I19" s="1" t="n">
        <v>6</v>
      </c>
      <c r="J19" s="1" t="n">
        <v>79.1</v>
      </c>
      <c r="K19" s="1" t="n">
        <v>70.1</v>
      </c>
      <c r="L19" s="1" t="n">
        <v>3</v>
      </c>
      <c r="M19" s="1" t="n">
        <v>14.03</v>
      </c>
      <c r="N19" s="1" t="n">
        <v>0.279613215</v>
      </c>
      <c r="O19" s="1" t="n">
        <f aca="false">P19*3/(P19*3+Q19*2+R19)</f>
        <v>0.256223669092302</v>
      </c>
      <c r="P19" s="1" t="n">
        <v>223</v>
      </c>
      <c r="Q19" s="1" t="n">
        <v>691</v>
      </c>
      <c r="R19" s="1" t="n">
        <v>560</v>
      </c>
      <c r="S19" s="1" t="n">
        <v>0.751</v>
      </c>
      <c r="T19" s="1" t="n">
        <v>16</v>
      </c>
      <c r="U19" s="1" t="n">
        <v>11.7</v>
      </c>
      <c r="V19" s="1" t="n">
        <f aca="false">1/3</f>
        <v>0.3333333333</v>
      </c>
    </row>
    <row r="20" customFormat="false" ht="12.75" hidden="false" customHeight="false" outlineLevel="0" collapsed="false">
      <c r="A20" s="1" t="s">
        <v>189</v>
      </c>
      <c r="B20" s="1" t="n">
        <v>0</v>
      </c>
      <c r="D20" s="1" t="n">
        <v>0.7959</v>
      </c>
      <c r="E20" s="1" t="n">
        <v>8</v>
      </c>
      <c r="F20" s="1" t="n">
        <v>1</v>
      </c>
      <c r="G20" s="1" t="n">
        <v>0</v>
      </c>
      <c r="H20" s="1" t="n">
        <v>0</v>
      </c>
      <c r="I20" s="1" t="n">
        <v>2</v>
      </c>
      <c r="J20" s="1" t="n">
        <v>64.2</v>
      </c>
      <c r="K20" s="1" t="n">
        <v>57.5</v>
      </c>
      <c r="L20" s="1" t="n">
        <v>0</v>
      </c>
      <c r="M20" s="1" t="n">
        <v>15.18</v>
      </c>
      <c r="N20" s="1" t="n">
        <v>0.353440151</v>
      </c>
      <c r="O20" s="1" t="n">
        <f aca="false">P20*3/(P20*3+Q20*2+R20)</f>
        <v>0.268867924528302</v>
      </c>
      <c r="P20" s="1" t="n">
        <v>190</v>
      </c>
      <c r="Q20" s="1" t="n">
        <v>534</v>
      </c>
      <c r="R20" s="1" t="n">
        <v>482</v>
      </c>
      <c r="S20" s="1" t="n">
        <v>0.734</v>
      </c>
      <c r="T20" s="1" t="n">
        <v>17</v>
      </c>
      <c r="U20" s="1" t="n">
        <v>10.1</v>
      </c>
      <c r="V20" s="1" t="n">
        <f aca="false">8/10</f>
        <v>0.8</v>
      </c>
    </row>
    <row r="21" customFormat="false" ht="12.75" hidden="false" customHeight="false" outlineLevel="0" collapsed="false">
      <c r="A21" s="1" t="s">
        <v>363</v>
      </c>
      <c r="B21" s="1" t="n">
        <v>0</v>
      </c>
      <c r="D21" s="1" t="n">
        <v>0.6849</v>
      </c>
      <c r="E21" s="1" t="n">
        <v>7</v>
      </c>
      <c r="F21" s="1" t="n">
        <v>0</v>
      </c>
      <c r="G21" s="1" t="n">
        <v>1</v>
      </c>
      <c r="H21" s="1" t="n">
        <v>7</v>
      </c>
      <c r="I21" s="1" t="n">
        <v>9</v>
      </c>
      <c r="J21" s="1" t="n">
        <v>64.5</v>
      </c>
      <c r="K21" s="1" t="n">
        <v>57.1</v>
      </c>
      <c r="L21" s="1" t="n">
        <v>3</v>
      </c>
      <c r="M21" s="1" t="n">
        <v>13.82</v>
      </c>
      <c r="N21" s="1" t="n">
        <v>0.358458961</v>
      </c>
      <c r="O21" s="1" t="n">
        <f aca="false">P21*3/(P21*3+Q21*2+R21)</f>
        <v>0.321477428180575</v>
      </c>
      <c r="P21" s="1" t="n">
        <v>235</v>
      </c>
      <c r="Q21" s="1" t="n">
        <v>536</v>
      </c>
      <c r="R21" s="1" t="n">
        <v>416</v>
      </c>
      <c r="S21" s="1" t="n">
        <v>0.624</v>
      </c>
      <c r="T21" s="1" t="n">
        <v>18</v>
      </c>
      <c r="U21" s="1" t="n">
        <v>11.3</v>
      </c>
      <c r="V21" s="1" t="n">
        <f aca="false">6/8</f>
        <v>0.75</v>
      </c>
    </row>
    <row r="22" customFormat="false" ht="12.75" hidden="false" customHeight="false" outlineLevel="0" collapsed="false">
      <c r="A22" s="1" t="s">
        <v>190</v>
      </c>
      <c r="B22" s="1" t="n">
        <v>1</v>
      </c>
      <c r="D22" s="1" t="n">
        <v>0.7037</v>
      </c>
      <c r="E22" s="1" t="n">
        <v>5</v>
      </c>
      <c r="F22" s="1" t="n">
        <v>0</v>
      </c>
      <c r="G22" s="1" t="n">
        <v>1</v>
      </c>
      <c r="H22" s="1" t="n">
        <v>5</v>
      </c>
      <c r="I22" s="1" t="n">
        <v>7</v>
      </c>
      <c r="J22" s="1" t="n">
        <v>70.9</v>
      </c>
      <c r="K22" s="1" t="n">
        <v>61.8</v>
      </c>
      <c r="L22" s="1" t="n">
        <v>1</v>
      </c>
      <c r="M22" s="1" t="n">
        <v>12.37</v>
      </c>
      <c r="N22" s="1" t="n">
        <v>0.35035035</v>
      </c>
      <c r="O22" s="1" t="n">
        <f aca="false">P22*3/(P22*3+Q22*2+R22)</f>
        <v>0.335684062059238</v>
      </c>
      <c r="P22" s="1" t="n">
        <v>238</v>
      </c>
      <c r="Q22" s="1" t="n">
        <v>505</v>
      </c>
      <c r="R22" s="1" t="n">
        <v>403</v>
      </c>
      <c r="S22" s="1" t="n">
        <v>0.71</v>
      </c>
      <c r="T22" s="1" t="n">
        <v>15</v>
      </c>
      <c r="U22" s="1" t="n">
        <v>13.1</v>
      </c>
      <c r="V22" s="1" t="n">
        <v>0.4</v>
      </c>
    </row>
    <row r="23" customFormat="false" ht="12.75" hidden="false" customHeight="false" outlineLevel="0" collapsed="false">
      <c r="A23" s="1" t="s">
        <v>534</v>
      </c>
      <c r="B23" s="1" t="n">
        <v>0</v>
      </c>
      <c r="C23" s="27"/>
      <c r="D23" s="1" t="n">
        <v>0.6755</v>
      </c>
      <c r="E23" s="1" t="n">
        <v>7</v>
      </c>
      <c r="F23" s="1" t="n">
        <v>1</v>
      </c>
      <c r="G23" s="1" t="n">
        <v>0</v>
      </c>
      <c r="H23" s="1" t="n">
        <v>0</v>
      </c>
      <c r="I23" s="1" t="n">
        <v>3</v>
      </c>
      <c r="J23" s="1" t="n">
        <v>71.2</v>
      </c>
      <c r="K23" s="1" t="n">
        <v>73.7</v>
      </c>
      <c r="L23" s="1" t="n">
        <v>0</v>
      </c>
      <c r="M23" s="1" t="n">
        <v>15.56</v>
      </c>
      <c r="N23" s="1" t="n">
        <v>0.376116978</v>
      </c>
      <c r="O23" s="1" t="n">
        <f aca="false">P23*3/(P23*3+Q23*2+R23)</f>
        <v>0.232961586121437</v>
      </c>
      <c r="P23" s="1" t="n">
        <v>188</v>
      </c>
      <c r="Q23" s="1" t="n">
        <v>665</v>
      </c>
      <c r="R23" s="1" t="n">
        <v>527</v>
      </c>
      <c r="S23" s="1" t="n">
        <v>0.711</v>
      </c>
      <c r="T23" s="1" t="n">
        <v>12</v>
      </c>
      <c r="U23" s="1" t="n">
        <v>-3.2</v>
      </c>
      <c r="V23" s="1" t="n">
        <v>0.636</v>
      </c>
    </row>
    <row r="24" customFormat="false" ht="12.75" hidden="false" customHeight="false" outlineLevel="0" collapsed="false">
      <c r="A24" s="1" t="s">
        <v>71</v>
      </c>
      <c r="B24" s="1" t="n">
        <v>3</v>
      </c>
      <c r="D24" s="1" t="n">
        <v>0.8701</v>
      </c>
      <c r="E24" s="1" t="n">
        <v>10</v>
      </c>
      <c r="F24" s="1" t="n">
        <v>1</v>
      </c>
      <c r="G24" s="1" t="n">
        <v>1</v>
      </c>
      <c r="H24" s="1" t="n">
        <v>5</v>
      </c>
      <c r="I24" s="1" t="n">
        <v>3</v>
      </c>
      <c r="J24" s="1" t="n">
        <v>78.4</v>
      </c>
      <c r="K24" s="1" t="n">
        <v>62.2</v>
      </c>
      <c r="L24" s="1" t="n">
        <v>3</v>
      </c>
      <c r="M24" s="1" t="n">
        <v>14</v>
      </c>
      <c r="N24" s="1" t="n">
        <v>0.323379461</v>
      </c>
      <c r="O24" s="1" t="n">
        <f aca="false">P24*3/(P24*3+Q24*2+R24)</f>
        <v>0.228346456692913</v>
      </c>
      <c r="P24" s="1" t="n">
        <v>203</v>
      </c>
      <c r="Q24" s="1" t="n">
        <v>785</v>
      </c>
      <c r="R24" s="1" t="n">
        <v>488</v>
      </c>
      <c r="S24" s="1" t="n">
        <v>0.66</v>
      </c>
      <c r="T24" s="1" t="n">
        <v>11</v>
      </c>
      <c r="U24" s="1" t="n">
        <v>23.7</v>
      </c>
      <c r="V24" s="1" t="n">
        <v>0.77777777777778</v>
      </c>
    </row>
    <row r="25" customFormat="false" ht="12.75" hidden="false" customHeight="false" outlineLevel="0" collapsed="false">
      <c r="A25" s="1" t="s">
        <v>24</v>
      </c>
      <c r="B25" s="1" t="n">
        <v>1</v>
      </c>
      <c r="D25" s="1" t="n">
        <v>0.6439</v>
      </c>
      <c r="E25" s="1" t="n">
        <v>4</v>
      </c>
      <c r="F25" s="1" t="n">
        <v>0</v>
      </c>
      <c r="G25" s="1" t="n">
        <v>1</v>
      </c>
      <c r="H25" s="1" t="n">
        <v>6</v>
      </c>
      <c r="I25" s="1" t="n">
        <v>8</v>
      </c>
      <c r="J25" s="1" t="n">
        <v>73.5</v>
      </c>
      <c r="K25" s="1" t="n">
        <v>67.7</v>
      </c>
      <c r="L25" s="1" t="n">
        <v>3</v>
      </c>
      <c r="M25" s="1" t="n">
        <v>14.69</v>
      </c>
      <c r="N25" s="1" t="n">
        <v>0.295883362</v>
      </c>
      <c r="O25" s="1" t="n">
        <f aca="false">P25*3/(P25*3+Q25*2+R25)</f>
        <v>0.275393115172121</v>
      </c>
      <c r="P25" s="1" t="n">
        <v>216</v>
      </c>
      <c r="Q25" s="1" t="n">
        <v>630</v>
      </c>
      <c r="R25" s="1" t="n">
        <v>445</v>
      </c>
      <c r="S25" s="1" t="n">
        <v>0.703</v>
      </c>
      <c r="T25" s="1" t="n">
        <v>15</v>
      </c>
      <c r="U25" s="1" t="n">
        <v>8.3</v>
      </c>
      <c r="V25" s="1" t="n">
        <v>0.25</v>
      </c>
    </row>
    <row r="26" customFormat="false" ht="12.75" hidden="false" customHeight="false" outlineLevel="0" collapsed="false">
      <c r="A26" s="1" t="s">
        <v>535</v>
      </c>
      <c r="B26" s="1" t="n">
        <v>0</v>
      </c>
      <c r="D26" s="1" t="n">
        <v>0.8043</v>
      </c>
      <c r="E26" s="1" t="n">
        <v>9</v>
      </c>
      <c r="F26" s="1" t="n">
        <v>1</v>
      </c>
      <c r="G26" s="1" t="n">
        <v>0</v>
      </c>
      <c r="H26" s="1" t="n">
        <v>0</v>
      </c>
      <c r="I26" s="1" t="n">
        <v>2</v>
      </c>
      <c r="J26" s="1" t="n">
        <v>80.3</v>
      </c>
      <c r="K26" s="1" t="n">
        <v>75.4</v>
      </c>
      <c r="L26" s="1" t="n">
        <v>0</v>
      </c>
      <c r="M26" s="1" t="n">
        <v>13.94</v>
      </c>
      <c r="N26" s="1" t="n">
        <v>0.350831146</v>
      </c>
      <c r="O26" s="1" t="n">
        <f aca="false">P26*3/(P26*3+Q26*2+R26)</f>
        <v>0.314584170349538</v>
      </c>
      <c r="P26" s="1" t="n">
        <v>261</v>
      </c>
      <c r="Q26" s="1" t="n">
        <v>613</v>
      </c>
      <c r="R26" s="1" t="n">
        <v>480</v>
      </c>
      <c r="S26" s="1" t="n">
        <v>0.702</v>
      </c>
      <c r="T26" s="1" t="n">
        <v>16</v>
      </c>
      <c r="U26" s="1" t="n">
        <v>7.1</v>
      </c>
      <c r="V26" s="1" t="n">
        <v>0.75</v>
      </c>
    </row>
    <row r="27" customFormat="false" ht="12.75" hidden="false" customHeight="false" outlineLevel="0" collapsed="false">
      <c r="A27" s="1" t="s">
        <v>109</v>
      </c>
      <c r="B27" s="1" t="n">
        <v>1</v>
      </c>
      <c r="D27" s="1" t="n">
        <v>0.6525</v>
      </c>
      <c r="E27" s="1" t="n">
        <v>7</v>
      </c>
      <c r="F27" s="1" t="n">
        <v>0</v>
      </c>
      <c r="G27" s="1" t="n">
        <v>1</v>
      </c>
      <c r="H27" s="1" t="n">
        <v>2</v>
      </c>
      <c r="I27" s="1" t="n">
        <v>7</v>
      </c>
      <c r="J27" s="1" t="n">
        <v>71.4</v>
      </c>
      <c r="K27" s="1" t="n">
        <v>63</v>
      </c>
      <c r="L27" s="1" t="n">
        <v>2</v>
      </c>
      <c r="M27" s="1" t="n">
        <v>12.72</v>
      </c>
      <c r="N27" s="1" t="n">
        <v>0.368818106</v>
      </c>
      <c r="O27" s="1" t="n">
        <f aca="false">P27*3/(P27*3+Q27*2+R27)</f>
        <v>0.312335958005249</v>
      </c>
      <c r="P27" s="1" t="n">
        <v>238</v>
      </c>
      <c r="Q27" s="1" t="n">
        <v>562</v>
      </c>
      <c r="R27" s="1" t="n">
        <v>448</v>
      </c>
      <c r="S27" s="1" t="n">
        <v>0.678</v>
      </c>
      <c r="T27" s="1" t="n">
        <v>14</v>
      </c>
      <c r="U27" s="1" t="n">
        <v>12.8</v>
      </c>
      <c r="V27" s="1" t="n">
        <v>0.571</v>
      </c>
    </row>
    <row r="28" customFormat="false" ht="12.75" hidden="false" customHeight="false" outlineLevel="0" collapsed="false">
      <c r="A28" s="1" t="s">
        <v>110</v>
      </c>
      <c r="B28" s="1" t="n">
        <v>0</v>
      </c>
      <c r="D28" s="1" t="n">
        <v>0.6831</v>
      </c>
      <c r="E28" s="1" t="n">
        <v>5</v>
      </c>
      <c r="F28" s="1" t="n">
        <v>0</v>
      </c>
      <c r="G28" s="1" t="n">
        <v>1</v>
      </c>
      <c r="H28" s="1" t="n">
        <v>6</v>
      </c>
      <c r="I28" s="1" t="n">
        <v>5</v>
      </c>
      <c r="J28" s="1" t="n">
        <v>72.5</v>
      </c>
      <c r="K28" s="1" t="n">
        <v>64.9</v>
      </c>
      <c r="L28" s="1" t="n">
        <v>1</v>
      </c>
      <c r="M28" s="1" t="n">
        <v>14.58</v>
      </c>
      <c r="N28" s="1" t="n">
        <v>0.389525368</v>
      </c>
      <c r="O28" s="1" t="n">
        <f aca="false">P28*3/(P28*3+Q28*2+R28)</f>
        <v>0.259398496240602</v>
      </c>
      <c r="P28" s="1" t="n">
        <v>207</v>
      </c>
      <c r="Q28" s="1" t="n">
        <v>629</v>
      </c>
      <c r="R28" s="1" t="n">
        <v>515</v>
      </c>
      <c r="S28" s="1" t="n">
        <v>0.669</v>
      </c>
      <c r="T28" s="1" t="n">
        <v>13</v>
      </c>
      <c r="U28" s="1" t="n">
        <v>10.1</v>
      </c>
      <c r="V28" s="1" t="n">
        <v>0.6</v>
      </c>
    </row>
    <row r="29" customFormat="false" ht="12.75" hidden="false" customHeight="false" outlineLevel="0" collapsed="false">
      <c r="A29" s="1" t="s">
        <v>111</v>
      </c>
      <c r="B29" s="1" t="n">
        <v>1</v>
      </c>
      <c r="D29" s="1" t="n">
        <v>0.7206</v>
      </c>
      <c r="E29" s="1" t="n">
        <v>8</v>
      </c>
      <c r="F29" s="1" t="n">
        <v>0</v>
      </c>
      <c r="G29" s="1" t="n">
        <v>1</v>
      </c>
      <c r="H29" s="1" t="n">
        <v>8</v>
      </c>
      <c r="I29" s="1" t="n">
        <v>5</v>
      </c>
      <c r="J29" s="1" t="n">
        <v>79.5</v>
      </c>
      <c r="K29" s="1" t="n">
        <v>67.5</v>
      </c>
      <c r="L29" s="1" t="n">
        <v>1</v>
      </c>
      <c r="M29" s="1" t="n">
        <v>15.78</v>
      </c>
      <c r="N29" s="1" t="n">
        <v>0.3273906</v>
      </c>
      <c r="O29" s="1" t="n">
        <f aca="false">P29*3/(P29*3+Q29*2+R29)</f>
        <v>0.216981132075472</v>
      </c>
      <c r="P29" s="1" t="n">
        <v>184</v>
      </c>
      <c r="Q29" s="1" t="n">
        <v>733</v>
      </c>
      <c r="R29" s="1" t="n">
        <v>526</v>
      </c>
      <c r="S29" s="1" t="n">
        <v>0.695</v>
      </c>
      <c r="T29" s="1" t="n">
        <v>17</v>
      </c>
      <c r="U29" s="1" t="n">
        <v>15.6</v>
      </c>
      <c r="V29" s="1" t="n">
        <v>0.230769231</v>
      </c>
    </row>
    <row r="30" customFormat="false" ht="12.75" hidden="false" customHeight="false" outlineLevel="0" collapsed="false">
      <c r="A30" s="1" t="s">
        <v>325</v>
      </c>
      <c r="B30" s="1" t="n">
        <v>3</v>
      </c>
      <c r="D30" s="1" t="n">
        <v>0.922</v>
      </c>
      <c r="E30" s="1" t="n">
        <v>10</v>
      </c>
      <c r="F30" s="1" t="n">
        <v>1</v>
      </c>
      <c r="G30" s="1" t="n">
        <v>0</v>
      </c>
      <c r="H30" s="1" t="n">
        <v>4</v>
      </c>
      <c r="I30" s="1" t="n">
        <v>3</v>
      </c>
      <c r="J30" s="1" t="n">
        <v>79.6</v>
      </c>
      <c r="K30" s="1" t="n">
        <v>63.1</v>
      </c>
      <c r="L30" s="1" t="n">
        <v>2</v>
      </c>
      <c r="M30" s="1" t="n">
        <v>13.58</v>
      </c>
      <c r="N30" s="1" t="n">
        <v>0.370539104</v>
      </c>
      <c r="O30" s="1" t="n">
        <f aca="false">P30*3/(P30*3+Q30*2+R30)</f>
        <v>0.289032749428789</v>
      </c>
      <c r="P30" s="1" t="n">
        <v>253</v>
      </c>
      <c r="Q30" s="1" t="n">
        <v>674</v>
      </c>
      <c r="R30" s="1" t="n">
        <v>519</v>
      </c>
      <c r="S30" s="1" t="n">
        <v>0.621</v>
      </c>
      <c r="T30" s="1" t="n">
        <v>14</v>
      </c>
      <c r="U30" s="1" t="n">
        <v>22.2</v>
      </c>
      <c r="V30" s="1" t="n">
        <v>0.8</v>
      </c>
    </row>
    <row r="31" customFormat="false" ht="12.75" hidden="false" customHeight="false" outlineLevel="0" collapsed="false">
      <c r="A31" s="1" t="s">
        <v>536</v>
      </c>
      <c r="B31" s="1" t="n">
        <v>0</v>
      </c>
      <c r="D31" s="1" t="n">
        <v>0.5873</v>
      </c>
      <c r="E31" s="1" t="n">
        <v>7</v>
      </c>
      <c r="F31" s="1" t="n">
        <v>1</v>
      </c>
      <c r="G31" s="1" t="n">
        <v>0</v>
      </c>
      <c r="H31" s="1" t="n">
        <v>1</v>
      </c>
      <c r="I31" s="1" t="n">
        <v>4</v>
      </c>
      <c r="J31" s="1" t="n">
        <v>59.6</v>
      </c>
      <c r="K31" s="1" t="n">
        <v>57.4</v>
      </c>
      <c r="L31" s="1" t="n">
        <v>0</v>
      </c>
      <c r="M31" s="1" t="n">
        <v>13.34</v>
      </c>
      <c r="N31" s="1" t="n">
        <v>0.26386037</v>
      </c>
      <c r="O31" s="1" t="n">
        <f aca="false">P31*3/(P31*3+Q31*2+R31)</f>
        <v>0.25498426023085</v>
      </c>
      <c r="P31" s="1" t="n">
        <v>162</v>
      </c>
      <c r="Q31" s="1" t="n">
        <v>537</v>
      </c>
      <c r="R31" s="1" t="n">
        <v>346</v>
      </c>
      <c r="S31" s="1" t="n">
        <v>0.709</v>
      </c>
      <c r="T31" s="1" t="n">
        <v>18</v>
      </c>
      <c r="U31" s="1" t="n">
        <v>3.4</v>
      </c>
      <c r="V31" s="1" t="n">
        <v>0.538</v>
      </c>
    </row>
    <row r="32" customFormat="false" ht="12.75" hidden="false" customHeight="false" outlineLevel="0" collapsed="false">
      <c r="A32" s="1" t="s">
        <v>537</v>
      </c>
      <c r="B32" s="1" t="n">
        <v>1</v>
      </c>
      <c r="D32" s="1" t="n">
        <v>0.6496</v>
      </c>
      <c r="E32" s="1" t="n">
        <v>5</v>
      </c>
      <c r="F32" s="1" t="n">
        <v>0</v>
      </c>
      <c r="G32" s="1" t="n">
        <v>1</v>
      </c>
      <c r="H32" s="1" t="n">
        <v>6</v>
      </c>
      <c r="I32" s="1" t="n">
        <v>8</v>
      </c>
      <c r="J32" s="1" t="n">
        <v>65.1</v>
      </c>
      <c r="K32" s="1" t="n">
        <v>57.2</v>
      </c>
      <c r="L32" s="1" t="n">
        <v>3</v>
      </c>
      <c r="M32" s="1" t="n">
        <v>15.03</v>
      </c>
      <c r="N32" s="1" t="n">
        <v>0.326724138</v>
      </c>
      <c r="O32" s="1" t="n">
        <f aca="false">P32*3/(P32*3+Q32*2+R32)</f>
        <v>0.237430167597765</v>
      </c>
      <c r="P32" s="1" t="n">
        <v>170</v>
      </c>
      <c r="Q32" s="1" t="n">
        <v>592</v>
      </c>
      <c r="R32" s="1" t="n">
        <v>454</v>
      </c>
      <c r="S32" s="1" t="n">
        <v>0.718</v>
      </c>
      <c r="T32" s="1" t="n">
        <v>14</v>
      </c>
      <c r="U32" s="1" t="n">
        <v>12.8</v>
      </c>
      <c r="V32" s="1" t="n">
        <v>0.333</v>
      </c>
    </row>
    <row r="33" customFormat="false" ht="12.75" hidden="false" customHeight="false" outlineLevel="0" collapsed="false">
      <c r="A33" s="1" t="s">
        <v>32</v>
      </c>
      <c r="B33" s="1" t="n">
        <v>1</v>
      </c>
      <c r="D33" s="1" t="n">
        <v>0.8959</v>
      </c>
      <c r="E33" s="1" t="n">
        <v>8</v>
      </c>
      <c r="F33" s="1" t="n">
        <v>0</v>
      </c>
      <c r="G33" s="1" t="n">
        <v>0</v>
      </c>
      <c r="H33" s="1" t="n">
        <v>2</v>
      </c>
      <c r="I33" s="1" t="n">
        <v>2</v>
      </c>
      <c r="J33" s="1" t="n">
        <v>77.9</v>
      </c>
      <c r="K33" s="1" t="n">
        <v>67.7</v>
      </c>
      <c r="L33" s="1" t="n">
        <v>3</v>
      </c>
      <c r="M33" s="1" t="n">
        <v>13.06</v>
      </c>
      <c r="N33" s="1" t="n">
        <v>0.306055646</v>
      </c>
      <c r="O33" s="1" t="n">
        <f aca="false">P33*3/(P33*3+Q33*2+R33)</f>
        <v>0.290012033694344</v>
      </c>
      <c r="P33" s="1" t="n">
        <v>241</v>
      </c>
      <c r="Q33" s="1" t="n">
        <v>659</v>
      </c>
      <c r="R33" s="1" t="n">
        <v>452</v>
      </c>
      <c r="S33" s="1" t="n">
        <v>0.756</v>
      </c>
      <c r="T33" s="1" t="n">
        <v>17</v>
      </c>
      <c r="U33" s="1" t="n">
        <v>14.5</v>
      </c>
      <c r="V33" s="1" t="n">
        <v>0.714285714</v>
      </c>
    </row>
    <row r="34" customFormat="false" ht="12.75" hidden="false" customHeight="false" outlineLevel="0" collapsed="false">
      <c r="A34" s="1" t="s">
        <v>76</v>
      </c>
      <c r="B34" s="1" t="n">
        <v>0</v>
      </c>
      <c r="D34" s="1" t="n">
        <v>0.7742</v>
      </c>
      <c r="E34" s="1" t="n">
        <v>7</v>
      </c>
      <c r="F34" s="1" t="n">
        <v>1</v>
      </c>
      <c r="G34" s="1" t="n">
        <v>0</v>
      </c>
      <c r="H34" s="1" t="n">
        <v>1</v>
      </c>
      <c r="I34" s="1" t="n">
        <v>2</v>
      </c>
      <c r="J34" s="1" t="n">
        <v>78.3</v>
      </c>
      <c r="K34" s="1" t="n">
        <v>72.3</v>
      </c>
      <c r="L34" s="1" t="n">
        <v>0</v>
      </c>
      <c r="M34" s="1" t="n">
        <v>16.85</v>
      </c>
      <c r="N34" s="1" t="n">
        <v>0.354116707</v>
      </c>
      <c r="O34" s="1" t="n">
        <f aca="false">P34*3/(P34*3+Q34*2+R34)</f>
        <v>0.222823984526112</v>
      </c>
      <c r="P34" s="1" t="n">
        <v>192</v>
      </c>
      <c r="Q34" s="1" t="n">
        <v>689</v>
      </c>
      <c r="R34" s="1" t="n">
        <v>631</v>
      </c>
      <c r="S34" s="1" t="n">
        <v>0.657</v>
      </c>
      <c r="T34" s="1" t="n">
        <v>16</v>
      </c>
      <c r="U34" s="1" t="n">
        <v>7.7</v>
      </c>
      <c r="V34" s="1" t="n">
        <v>0.54545454545455</v>
      </c>
    </row>
    <row r="35" customFormat="false" ht="12.75" hidden="false" customHeight="false" outlineLevel="0" collapsed="false">
      <c r="A35" s="1" t="s">
        <v>538</v>
      </c>
      <c r="B35" s="1" t="n">
        <v>0</v>
      </c>
      <c r="D35" s="1" t="n">
        <v>0.6509</v>
      </c>
      <c r="E35" s="1" t="n">
        <v>10</v>
      </c>
      <c r="F35" s="1" t="n">
        <v>1</v>
      </c>
      <c r="G35" s="1" t="n">
        <v>0</v>
      </c>
      <c r="H35" s="1" t="n">
        <v>1</v>
      </c>
      <c r="I35" s="1" t="n">
        <v>0</v>
      </c>
      <c r="J35" s="1" t="n">
        <v>76.1</v>
      </c>
      <c r="K35" s="1" t="n">
        <v>74.5</v>
      </c>
      <c r="L35" s="1" t="n">
        <v>1</v>
      </c>
      <c r="M35" s="1" t="n">
        <v>13.36</v>
      </c>
      <c r="N35" s="1" t="n">
        <v>0.385043755</v>
      </c>
      <c r="O35" s="1" t="n">
        <f aca="false">P35*3/(P35*3+Q35*2+R35)</f>
        <v>0.315537848605578</v>
      </c>
      <c r="P35" s="1" t="n">
        <v>264</v>
      </c>
      <c r="Q35" s="1" t="n">
        <v>580</v>
      </c>
      <c r="R35" s="1" t="n">
        <v>558</v>
      </c>
      <c r="S35" s="1" t="n">
        <v>0.731</v>
      </c>
      <c r="T35" s="1" t="n">
        <v>19</v>
      </c>
      <c r="U35" s="1" t="n">
        <v>1.8</v>
      </c>
      <c r="V35" s="1" t="n">
        <v>0.8</v>
      </c>
    </row>
    <row r="36" customFormat="false" ht="12.75" hidden="false" customHeight="false" outlineLevel="0" collapsed="false">
      <c r="A36" s="1" t="s">
        <v>51</v>
      </c>
      <c r="B36" s="1" t="n">
        <v>3</v>
      </c>
      <c r="D36" s="1" t="n">
        <v>0.8333</v>
      </c>
      <c r="E36" s="1" t="n">
        <v>7</v>
      </c>
      <c r="F36" s="1" t="n">
        <v>1</v>
      </c>
      <c r="G36" s="1" t="n">
        <v>1</v>
      </c>
      <c r="H36" s="1" t="n">
        <v>12</v>
      </c>
      <c r="I36" s="1" t="n">
        <v>5</v>
      </c>
      <c r="J36" s="1" t="n">
        <v>86.3</v>
      </c>
      <c r="K36" s="1" t="n">
        <v>68.6</v>
      </c>
      <c r="L36" s="1" t="n">
        <v>3</v>
      </c>
      <c r="M36" s="1" t="n">
        <v>13.94</v>
      </c>
      <c r="N36" s="1" t="n">
        <v>0.329479769</v>
      </c>
      <c r="O36" s="1" t="n">
        <f aca="false">P36*3/(P36*3+Q36*2+R36)</f>
        <v>0.200477326968974</v>
      </c>
      <c r="P36" s="1" t="n">
        <v>196</v>
      </c>
      <c r="Q36" s="1" t="n">
        <v>874</v>
      </c>
      <c r="R36" s="1" t="n">
        <v>597</v>
      </c>
      <c r="S36" s="1" t="n">
        <v>0.712</v>
      </c>
      <c r="T36" s="1" t="n">
        <v>11</v>
      </c>
      <c r="U36" s="1" t="n">
        <v>23.1</v>
      </c>
      <c r="V36" s="1" t="n">
        <v>0.2</v>
      </c>
    </row>
    <row r="37" customFormat="false" ht="12.75" hidden="false" customHeight="false" outlineLevel="0" collapsed="false">
      <c r="A37" s="1" t="s">
        <v>421</v>
      </c>
      <c r="B37" s="1" t="n">
        <v>0</v>
      </c>
      <c r="D37" s="1" t="n">
        <v>0.6912</v>
      </c>
      <c r="E37" s="1" t="n">
        <v>7</v>
      </c>
      <c r="F37" s="1" t="n">
        <v>1</v>
      </c>
      <c r="G37" s="1" t="n">
        <v>0</v>
      </c>
      <c r="H37" s="1" t="n">
        <v>0</v>
      </c>
      <c r="I37" s="1" t="n">
        <v>0</v>
      </c>
      <c r="J37" s="1" t="n">
        <v>77.5</v>
      </c>
      <c r="K37" s="1" t="n">
        <v>72.2</v>
      </c>
      <c r="L37" s="1" t="n">
        <v>0</v>
      </c>
      <c r="M37" s="1" t="n">
        <v>15.7</v>
      </c>
      <c r="N37" s="1" t="n">
        <v>0.357791225</v>
      </c>
      <c r="O37" s="1" t="n">
        <f aca="false">P37*3/(P37*3+Q37*2+R37)</f>
        <v>0.260257913247362</v>
      </c>
      <c r="P37" s="1" t="n">
        <v>222</v>
      </c>
      <c r="Q37" s="1" t="n">
        <v>685</v>
      </c>
      <c r="R37" s="1" t="n">
        <v>523</v>
      </c>
      <c r="S37" s="1" t="n">
        <v>0.657</v>
      </c>
      <c r="T37" s="1" t="n">
        <v>17</v>
      </c>
      <c r="U37" s="1" t="n">
        <v>8</v>
      </c>
      <c r="V37" s="1" t="n">
        <v>0.5333</v>
      </c>
    </row>
    <row r="38" customFormat="false" ht="12.75" hidden="false" customHeight="false" outlineLevel="0" collapsed="false">
      <c r="A38" s="1" t="s">
        <v>121</v>
      </c>
      <c r="B38" s="1" t="n">
        <v>0</v>
      </c>
      <c r="D38" s="1" t="n">
        <v>0.8</v>
      </c>
      <c r="E38" s="1" t="n">
        <v>7</v>
      </c>
      <c r="F38" s="1" t="n">
        <v>0</v>
      </c>
      <c r="G38" s="1" t="n">
        <v>1</v>
      </c>
      <c r="H38" s="1" t="n">
        <v>4</v>
      </c>
      <c r="I38" s="1" t="n">
        <v>4</v>
      </c>
      <c r="J38" s="1" t="n">
        <v>81.5</v>
      </c>
      <c r="K38" s="1" t="n">
        <v>68.7</v>
      </c>
      <c r="L38" s="1" t="n">
        <v>0</v>
      </c>
      <c r="M38" s="1" t="n">
        <v>12.94</v>
      </c>
      <c r="N38" s="1" t="n">
        <v>0.330529857</v>
      </c>
      <c r="O38" s="1" t="n">
        <f aca="false">P38*3/(P38*3+Q38*2+R38)</f>
        <v>0.335838607594937</v>
      </c>
      <c r="P38" s="1" t="n">
        <v>283</v>
      </c>
      <c r="Q38" s="1" t="n">
        <v>558</v>
      </c>
      <c r="R38" s="1" t="n">
        <v>563</v>
      </c>
      <c r="S38" s="1" t="n">
        <v>0.743</v>
      </c>
      <c r="T38" s="1" t="n">
        <v>15</v>
      </c>
      <c r="U38" s="1" t="n">
        <v>18.4</v>
      </c>
      <c r="V38" s="1" t="n">
        <v>0.4286</v>
      </c>
    </row>
    <row r="39" customFormat="false" ht="12.75" hidden="false" customHeight="false" outlineLevel="0" collapsed="false">
      <c r="A39" s="1" t="s">
        <v>41</v>
      </c>
      <c r="B39" s="1" t="n">
        <v>5</v>
      </c>
      <c r="D39" s="1" t="n">
        <v>0.9333</v>
      </c>
      <c r="E39" s="1" t="n">
        <v>10</v>
      </c>
      <c r="F39" s="1" t="n">
        <v>1</v>
      </c>
      <c r="G39" s="1" t="n">
        <v>1</v>
      </c>
      <c r="H39" s="1" t="n">
        <v>11</v>
      </c>
      <c r="I39" s="1" t="n">
        <v>3</v>
      </c>
      <c r="J39" s="1" t="n">
        <v>73.6</v>
      </c>
      <c r="K39" s="1" t="n">
        <v>62</v>
      </c>
      <c r="L39" s="1" t="n">
        <v>1</v>
      </c>
      <c r="M39" s="1" t="n">
        <v>11.76</v>
      </c>
      <c r="N39" s="1" t="n">
        <v>0.313242784</v>
      </c>
      <c r="O39" s="1" t="n">
        <f aca="false">P39*3/(P39*3+Q39*2+R39)</f>
        <v>0.303703703703704</v>
      </c>
      <c r="P39" s="1" t="n">
        <v>246</v>
      </c>
      <c r="Q39" s="1" t="n">
        <v>621</v>
      </c>
      <c r="R39" s="1" t="n">
        <v>450</v>
      </c>
      <c r="S39" s="1" t="n">
        <v>0.703</v>
      </c>
      <c r="T39" s="1" t="n">
        <v>14</v>
      </c>
      <c r="U39" s="1" t="n">
        <v>19</v>
      </c>
      <c r="V39" s="1" t="n">
        <v>0.77777777777778</v>
      </c>
    </row>
    <row r="40" customFormat="false" ht="12.75" hidden="false" customHeight="false" outlineLevel="0" collapsed="false">
      <c r="A40" s="1" t="s">
        <v>463</v>
      </c>
      <c r="B40" s="1" t="n">
        <v>0</v>
      </c>
      <c r="D40" s="1" t="n">
        <v>0.7571</v>
      </c>
      <c r="E40" s="1" t="n">
        <v>9</v>
      </c>
      <c r="F40" s="1" t="n">
        <v>0</v>
      </c>
      <c r="G40" s="1" t="n">
        <v>0</v>
      </c>
      <c r="H40" s="1" t="n">
        <v>2</v>
      </c>
      <c r="I40" s="1" t="n">
        <v>3</v>
      </c>
      <c r="J40" s="1" t="n">
        <v>70.1</v>
      </c>
      <c r="K40" s="1" t="n">
        <v>62</v>
      </c>
      <c r="L40" s="1" t="n">
        <v>1</v>
      </c>
      <c r="M40" s="1" t="n">
        <v>12.34</v>
      </c>
      <c r="N40" s="1" t="n">
        <v>0.330494037</v>
      </c>
      <c r="O40" s="1" t="n">
        <f aca="false">P40*3/(P40*3+Q40*2+R40)</f>
        <v>0.308823529411765</v>
      </c>
      <c r="P40" s="1" t="n">
        <v>231</v>
      </c>
      <c r="Q40" s="1" t="n">
        <v>539</v>
      </c>
      <c r="R40" s="1" t="n">
        <v>473</v>
      </c>
      <c r="S40" s="1" t="n">
        <v>0.722</v>
      </c>
      <c r="T40" s="1" t="n">
        <v>20</v>
      </c>
      <c r="U40" s="1" t="n">
        <v>11.3</v>
      </c>
      <c r="V40" s="1" t="n">
        <v>0.6667</v>
      </c>
    </row>
    <row r="41" customFormat="false" ht="12.75" hidden="false" customHeight="false" outlineLevel="0" collapsed="false">
      <c r="A41" s="1" t="s">
        <v>521</v>
      </c>
      <c r="B41" s="1" t="n">
        <v>0</v>
      </c>
      <c r="D41" s="1" t="n">
        <v>0.7121</v>
      </c>
      <c r="E41" s="1" t="n">
        <v>8</v>
      </c>
      <c r="F41" s="1" t="n">
        <v>1</v>
      </c>
      <c r="G41" s="1" t="n">
        <v>0</v>
      </c>
      <c r="H41" s="1" t="n">
        <v>1</v>
      </c>
      <c r="I41" s="1" t="n">
        <v>3</v>
      </c>
      <c r="J41" s="1" t="n">
        <v>72.3</v>
      </c>
      <c r="K41" s="1" t="n">
        <v>65.6</v>
      </c>
      <c r="L41" s="1" t="n">
        <v>1</v>
      </c>
      <c r="M41" s="1" t="n">
        <v>15.18</v>
      </c>
      <c r="N41" s="1" t="n">
        <v>0.305982906</v>
      </c>
      <c r="O41" s="1" t="n">
        <f aca="false">P41*3/(P41*3+Q41*2+R41)</f>
        <v>0.248952221290863</v>
      </c>
      <c r="P41" s="1" t="n">
        <v>198</v>
      </c>
      <c r="Q41" s="1" t="n">
        <v>607</v>
      </c>
      <c r="R41" s="1" t="n">
        <v>578</v>
      </c>
      <c r="S41" s="1" t="n">
        <v>0.711</v>
      </c>
      <c r="T41" s="1" t="n">
        <v>17</v>
      </c>
      <c r="U41" s="1" t="n">
        <v>10.1</v>
      </c>
      <c r="V41" s="1" t="n">
        <v>0.4444</v>
      </c>
    </row>
    <row r="42" customFormat="false" ht="12.75" hidden="false" customHeight="false" outlineLevel="0" collapsed="false">
      <c r="A42" s="1" t="s">
        <v>123</v>
      </c>
      <c r="B42" s="1" t="n">
        <v>3</v>
      </c>
      <c r="D42" s="1" t="n">
        <v>0.7943</v>
      </c>
      <c r="E42" s="1" t="n">
        <v>7</v>
      </c>
      <c r="F42" s="1" t="n">
        <v>1</v>
      </c>
      <c r="G42" s="1" t="n">
        <v>1</v>
      </c>
      <c r="H42" s="1" t="n">
        <v>8</v>
      </c>
      <c r="I42" s="1" t="n">
        <v>5</v>
      </c>
      <c r="J42" s="1" t="n">
        <v>76.4</v>
      </c>
      <c r="K42" s="1" t="n">
        <v>66.2</v>
      </c>
      <c r="L42" s="1" t="n">
        <v>0</v>
      </c>
      <c r="M42" s="1" t="n">
        <v>12.61</v>
      </c>
      <c r="N42" s="1" t="n">
        <v>0.348314607</v>
      </c>
      <c r="O42" s="1" t="n">
        <f aca="false">P42*3/(P42*3+Q42*2+R42)</f>
        <v>0.372471241570805</v>
      </c>
      <c r="P42" s="1" t="n">
        <v>313</v>
      </c>
      <c r="Q42" s="1" t="n">
        <v>554</v>
      </c>
      <c r="R42" s="1" t="n">
        <v>474</v>
      </c>
      <c r="S42" s="1" t="n">
        <v>0.761</v>
      </c>
      <c r="T42" s="1" t="n">
        <v>17</v>
      </c>
      <c r="U42" s="1" t="n">
        <v>14.3</v>
      </c>
      <c r="V42" s="1" t="n">
        <v>0.6923</v>
      </c>
    </row>
    <row r="43" customFormat="false" ht="12.75" hidden="false" customHeight="false" outlineLevel="0" collapsed="false">
      <c r="A43" s="1" t="s">
        <v>539</v>
      </c>
      <c r="B43" s="1" t="n">
        <v>0</v>
      </c>
      <c r="D43" s="1" t="n">
        <v>0.7266</v>
      </c>
      <c r="E43" s="1" t="n">
        <v>10</v>
      </c>
      <c r="F43" s="1" t="n">
        <v>1</v>
      </c>
      <c r="G43" s="1" t="n">
        <v>0</v>
      </c>
      <c r="H43" s="1" t="n">
        <v>0</v>
      </c>
      <c r="I43" s="1" t="n">
        <v>2</v>
      </c>
      <c r="J43" s="1" t="n">
        <v>74.8</v>
      </c>
      <c r="K43" s="1" t="n">
        <v>67.5</v>
      </c>
      <c r="L43" s="1" t="n">
        <v>2</v>
      </c>
      <c r="M43" s="1" t="n">
        <v>14.1</v>
      </c>
      <c r="N43" s="1" t="n">
        <v>0.316950853</v>
      </c>
      <c r="O43" s="1" t="n">
        <f aca="false">P43*3/(P43*3+Q43*2+R43)</f>
        <v>0.245879732739421</v>
      </c>
      <c r="P43" s="1" t="n">
        <v>184</v>
      </c>
      <c r="Q43" s="1" t="n">
        <v>631</v>
      </c>
      <c r="R43" s="1" t="n">
        <v>431</v>
      </c>
      <c r="S43" s="1" t="n">
        <v>0.664</v>
      </c>
      <c r="T43" s="1" t="n">
        <v>17</v>
      </c>
      <c r="U43" s="1" t="n">
        <v>9.3</v>
      </c>
      <c r="V43" s="1" t="n">
        <v>0.8333</v>
      </c>
    </row>
    <row r="44" customFormat="false" ht="12.75" hidden="false" customHeight="false" outlineLevel="0" collapsed="false">
      <c r="A44" s="1" t="s">
        <v>197</v>
      </c>
      <c r="B44" s="1" t="n">
        <v>2</v>
      </c>
      <c r="D44" s="1" t="n">
        <v>0.7829</v>
      </c>
      <c r="E44" s="1" t="n">
        <v>6</v>
      </c>
      <c r="F44" s="1" t="n">
        <v>0</v>
      </c>
      <c r="G44" s="1" t="n">
        <v>1</v>
      </c>
      <c r="H44" s="1" t="n">
        <v>5</v>
      </c>
      <c r="I44" s="1" t="n">
        <v>6</v>
      </c>
      <c r="J44" s="1" t="n">
        <v>71.1</v>
      </c>
      <c r="K44" s="1" t="n">
        <v>62.8</v>
      </c>
      <c r="L44" s="1" t="n">
        <v>3</v>
      </c>
      <c r="M44" s="1" t="n">
        <v>11.71</v>
      </c>
      <c r="N44" s="1" t="n">
        <v>0.341282895</v>
      </c>
      <c r="O44" s="1" t="n">
        <f aca="false">P44*3/(P44*3+Q44*2+R44)</f>
        <v>0.255477470028938</v>
      </c>
      <c r="P44" s="1" t="n">
        <v>206</v>
      </c>
      <c r="Q44" s="1" t="n">
        <v>674</v>
      </c>
      <c r="R44" s="1" t="n">
        <v>453</v>
      </c>
      <c r="S44" s="1" t="n">
        <v>0.661</v>
      </c>
      <c r="T44" s="1" t="n">
        <v>20</v>
      </c>
      <c r="U44" s="1" t="n">
        <v>13.2</v>
      </c>
      <c r="V44" s="1" t="n">
        <v>0.66666666666667</v>
      </c>
    </row>
    <row r="45" customFormat="false" ht="12.75" hidden="false" customHeight="false" outlineLevel="0" collapsed="false">
      <c r="A45" s="1" t="s">
        <v>69</v>
      </c>
      <c r="B45" s="1" t="n">
        <v>1</v>
      </c>
      <c r="D45" s="1" t="n">
        <v>0.6525</v>
      </c>
      <c r="E45" s="1" t="n">
        <v>7</v>
      </c>
      <c r="F45" s="1" t="n">
        <v>0</v>
      </c>
      <c r="G45" s="1" t="n">
        <v>1</v>
      </c>
      <c r="H45" s="1" t="n">
        <v>5</v>
      </c>
      <c r="I45" s="1" t="n">
        <v>7</v>
      </c>
      <c r="J45" s="1" t="n">
        <v>69.6</v>
      </c>
      <c r="K45" s="1" t="n">
        <v>63.5</v>
      </c>
      <c r="L45" s="1" t="n">
        <v>0</v>
      </c>
      <c r="M45" s="1" t="n">
        <v>14.22</v>
      </c>
      <c r="N45" s="1" t="n">
        <v>0.339658444</v>
      </c>
      <c r="O45" s="1" t="n">
        <f aca="false">P45*3/(P45*3+Q45*2+R45)</f>
        <v>0.280286097451945</v>
      </c>
      <c r="P45" s="1" t="n">
        <v>209</v>
      </c>
      <c r="Q45" s="1" t="n">
        <v>582</v>
      </c>
      <c r="R45" s="1" t="n">
        <v>446</v>
      </c>
      <c r="S45" s="1" t="n">
        <v>0.678</v>
      </c>
      <c r="T45" s="1" t="n">
        <v>13</v>
      </c>
      <c r="U45" s="1" t="n">
        <v>9.8</v>
      </c>
      <c r="V45" s="1" t="n">
        <v>0.6</v>
      </c>
    </row>
    <row r="46" customFormat="false" ht="12.75" hidden="false" customHeight="false" outlineLevel="0" collapsed="false">
      <c r="A46" s="1" t="s">
        <v>513</v>
      </c>
      <c r="B46" s="1" t="n">
        <v>2</v>
      </c>
      <c r="D46" s="1" t="n">
        <v>0.6357</v>
      </c>
      <c r="E46" s="1" t="n">
        <v>5</v>
      </c>
      <c r="F46" s="1" t="n">
        <v>0</v>
      </c>
      <c r="G46" s="1" t="n">
        <v>1</v>
      </c>
      <c r="H46" s="1" t="n">
        <v>9</v>
      </c>
      <c r="I46" s="1" t="n">
        <v>7</v>
      </c>
      <c r="J46" s="1" t="n">
        <v>71.4</v>
      </c>
      <c r="K46" s="1" t="n">
        <v>65.6</v>
      </c>
      <c r="L46" s="1" t="n">
        <v>0</v>
      </c>
      <c r="M46" s="1" t="n">
        <v>14.71</v>
      </c>
      <c r="N46" s="1" t="n">
        <v>0.274221453</v>
      </c>
      <c r="O46" s="1" t="n">
        <f aca="false">P46*3/(P46*3+Q46*2+R46)</f>
        <v>0.237232289950577</v>
      </c>
      <c r="P46" s="1" t="n">
        <v>192</v>
      </c>
      <c r="Q46" s="1" t="n">
        <v>676</v>
      </c>
      <c r="R46" s="1" t="n">
        <v>500</v>
      </c>
      <c r="S46" s="1" t="n">
        <v>0.715</v>
      </c>
      <c r="T46" s="1" t="n">
        <v>13</v>
      </c>
      <c r="U46" s="1" t="n">
        <v>9.5</v>
      </c>
      <c r="V46" s="1" t="n">
        <v>0.615</v>
      </c>
    </row>
    <row r="47" customFormat="false" ht="12.75" hidden="false" customHeight="false" outlineLevel="0" collapsed="false">
      <c r="A47" s="1" t="s">
        <v>540</v>
      </c>
      <c r="B47" s="1" t="n">
        <v>2</v>
      </c>
      <c r="D47" s="1" t="n">
        <v>0.8514</v>
      </c>
      <c r="E47" s="1" t="n">
        <v>9</v>
      </c>
      <c r="F47" s="1" t="n">
        <v>0</v>
      </c>
      <c r="G47" s="1" t="n">
        <v>0</v>
      </c>
      <c r="H47" s="1" t="n">
        <v>8</v>
      </c>
      <c r="I47" s="1" t="n">
        <v>3</v>
      </c>
      <c r="J47" s="1" t="n">
        <v>63.2</v>
      </c>
      <c r="K47" s="1" t="n">
        <v>57</v>
      </c>
      <c r="L47" s="1" t="n">
        <v>3</v>
      </c>
      <c r="M47" s="1" t="n">
        <v>14</v>
      </c>
      <c r="N47" s="1" t="n">
        <v>0.318135765</v>
      </c>
      <c r="O47" s="1" t="n">
        <f aca="false">P47*3/(P47*3+Q47*2+R47)</f>
        <v>0.293666026871401</v>
      </c>
      <c r="P47" s="1" t="n">
        <v>204</v>
      </c>
      <c r="Q47" s="1" t="n">
        <v>500</v>
      </c>
      <c r="R47" s="1" t="n">
        <v>472</v>
      </c>
      <c r="S47" s="1" t="n">
        <v>0.693</v>
      </c>
      <c r="T47" s="1" t="n">
        <v>20</v>
      </c>
      <c r="U47" s="1" t="n">
        <v>11</v>
      </c>
      <c r="V47" s="1" t="n">
        <v>0.66666666666667</v>
      </c>
    </row>
    <row r="48" customFormat="false" ht="12.75" hidden="false" customHeight="false" outlineLevel="0" collapsed="false">
      <c r="A48" s="1" t="s">
        <v>335</v>
      </c>
      <c r="B48" s="1" t="n">
        <v>0</v>
      </c>
      <c r="D48" s="1" t="n">
        <v>0.5758</v>
      </c>
      <c r="E48" s="1" t="n">
        <v>4</v>
      </c>
      <c r="F48" s="1" t="n">
        <v>0</v>
      </c>
      <c r="G48" s="1" t="n">
        <v>1</v>
      </c>
      <c r="H48" s="1" t="n">
        <v>5</v>
      </c>
      <c r="I48" s="1" t="n">
        <v>8</v>
      </c>
      <c r="J48" s="1" t="n">
        <v>69.9</v>
      </c>
      <c r="K48" s="1" t="n">
        <v>67</v>
      </c>
      <c r="L48" s="1" t="n">
        <v>2</v>
      </c>
      <c r="M48" s="1" t="n">
        <v>14.6</v>
      </c>
      <c r="N48" s="1" t="n">
        <v>0.326989619</v>
      </c>
      <c r="O48" s="1" t="n">
        <f aca="false">P48*3/(P48*3+Q48*2+R48)</f>
        <v>0.244518589132507</v>
      </c>
      <c r="P48" s="1" t="n">
        <v>171</v>
      </c>
      <c r="Q48" s="1" t="n">
        <v>586</v>
      </c>
      <c r="R48" s="1" t="n">
        <v>413</v>
      </c>
      <c r="S48" s="1" t="n">
        <v>0.682</v>
      </c>
      <c r="T48" s="1" t="n">
        <v>12</v>
      </c>
      <c r="U48" s="1" t="n">
        <v>3.6</v>
      </c>
      <c r="V48" s="1" t="n">
        <v>0.5</v>
      </c>
    </row>
    <row r="49" customFormat="false" ht="12.75" hidden="false" customHeight="false" outlineLevel="0" collapsed="false">
      <c r="A49" s="1" t="s">
        <v>541</v>
      </c>
      <c r="B49" s="1" t="n">
        <v>0</v>
      </c>
      <c r="D49" s="1" t="n">
        <v>0.8382</v>
      </c>
      <c r="E49" s="1" t="n">
        <v>9</v>
      </c>
      <c r="F49" s="1" t="n">
        <v>1</v>
      </c>
      <c r="G49" s="1" t="n">
        <v>0</v>
      </c>
      <c r="H49" s="1" t="n">
        <v>0</v>
      </c>
      <c r="I49" s="1" t="n">
        <v>2</v>
      </c>
      <c r="J49" s="1" t="n">
        <v>79.8</v>
      </c>
      <c r="K49" s="1" t="n">
        <v>70.6</v>
      </c>
      <c r="L49" s="1" t="n">
        <v>0</v>
      </c>
      <c r="M49" s="1" t="n">
        <v>16.25</v>
      </c>
      <c r="N49" s="1" t="n">
        <v>0.322212467</v>
      </c>
      <c r="O49" s="1" t="n">
        <f aca="false">P49*3/(P49*3+Q49*2+R49)</f>
        <v>0.218652037617555</v>
      </c>
      <c r="P49" s="1" t="n">
        <v>186</v>
      </c>
      <c r="Q49" s="1" t="n">
        <v>706</v>
      </c>
      <c r="R49" s="1" t="n">
        <v>582</v>
      </c>
      <c r="S49" s="1" t="n">
        <v>0.707</v>
      </c>
      <c r="T49" s="1" t="n">
        <v>19</v>
      </c>
      <c r="U49" s="1" t="n">
        <v>13.6</v>
      </c>
      <c r="V49" s="1" t="n">
        <v>0.5</v>
      </c>
    </row>
    <row r="50" customFormat="false" ht="12.75" hidden="false" customHeight="false" outlineLevel="0" collapsed="false">
      <c r="A50" s="1" t="s">
        <v>336</v>
      </c>
      <c r="B50" s="1" t="n">
        <v>2</v>
      </c>
      <c r="D50" s="1" t="n">
        <v>0.7</v>
      </c>
      <c r="E50" s="1" t="n">
        <v>7</v>
      </c>
      <c r="F50" s="1" t="n">
        <v>0</v>
      </c>
      <c r="G50" s="1" t="n">
        <v>1</v>
      </c>
      <c r="H50" s="1" t="n">
        <v>6</v>
      </c>
      <c r="I50" s="1" t="n">
        <v>6</v>
      </c>
      <c r="J50" s="1" t="n">
        <v>79.7</v>
      </c>
      <c r="K50" s="1" t="n">
        <v>75.1</v>
      </c>
      <c r="L50" s="1" t="n">
        <v>1</v>
      </c>
      <c r="M50" s="1" t="n">
        <v>14.59</v>
      </c>
      <c r="N50" s="1" t="n">
        <v>0.382249561</v>
      </c>
      <c r="O50" s="1" t="n">
        <f aca="false">P50*3/(P50*3+Q50*2+R50)</f>
        <v>0.336602589250687</v>
      </c>
      <c r="P50" s="1" t="n">
        <v>286</v>
      </c>
      <c r="Q50" s="1" t="n">
        <v>600</v>
      </c>
      <c r="R50" s="1" t="n">
        <v>491</v>
      </c>
      <c r="S50" s="1" t="n">
        <v>0.653</v>
      </c>
      <c r="T50" s="1" t="n">
        <v>12</v>
      </c>
      <c r="U50" s="1" t="n">
        <v>7.9</v>
      </c>
      <c r="V50" s="1" t="n">
        <v>0.6364</v>
      </c>
    </row>
    <row r="51" customFormat="false" ht="12.75" hidden="false" customHeight="false" outlineLevel="0" collapsed="false">
      <c r="A51" s="1" t="s">
        <v>33</v>
      </c>
      <c r="B51" s="1" t="n">
        <v>1</v>
      </c>
      <c r="D51" s="1" t="n">
        <v>0.7338</v>
      </c>
      <c r="E51" s="1" t="n">
        <v>8</v>
      </c>
      <c r="F51" s="1" t="n">
        <v>0</v>
      </c>
      <c r="G51" s="1" t="n">
        <v>1</v>
      </c>
      <c r="H51" s="1" t="n">
        <v>4</v>
      </c>
      <c r="I51" s="1" t="n">
        <v>7</v>
      </c>
      <c r="J51" s="1" t="n">
        <v>82.2</v>
      </c>
      <c r="K51" s="1" t="n">
        <v>72.2</v>
      </c>
      <c r="L51" s="1" t="n">
        <v>3</v>
      </c>
      <c r="M51" s="1" t="n">
        <v>12.27</v>
      </c>
      <c r="N51" s="1" t="n">
        <v>0.34841629</v>
      </c>
      <c r="O51" s="1" t="n">
        <f aca="false">P51*3/(P51*3+Q51*2+R51)</f>
        <v>0.328418724659049</v>
      </c>
      <c r="P51" s="1" t="n">
        <v>297</v>
      </c>
      <c r="Q51" s="1" t="n">
        <v>617</v>
      </c>
      <c r="R51" s="1" t="n">
        <v>588</v>
      </c>
      <c r="S51" s="1" t="n">
        <v>0.736</v>
      </c>
      <c r="T51" s="1" t="n">
        <v>8</v>
      </c>
      <c r="U51" s="1" t="n">
        <v>13.2</v>
      </c>
      <c r="V51" s="1" t="n">
        <v>0.6428</v>
      </c>
    </row>
    <row r="52" customFormat="false" ht="12.75" hidden="false" customHeight="false" outlineLevel="0" collapsed="false">
      <c r="A52" s="1" t="s">
        <v>49</v>
      </c>
      <c r="B52" s="1" t="n">
        <v>2</v>
      </c>
      <c r="D52" s="1" t="n">
        <v>0.7984</v>
      </c>
      <c r="E52" s="1" t="n">
        <v>7</v>
      </c>
      <c r="F52" s="1" t="n">
        <v>0</v>
      </c>
      <c r="G52" s="1" t="n">
        <v>1</v>
      </c>
      <c r="H52" s="1" t="n">
        <v>3</v>
      </c>
      <c r="I52" s="1" t="n">
        <v>4</v>
      </c>
      <c r="J52" s="1" t="n">
        <v>76.3</v>
      </c>
      <c r="K52" s="1" t="n">
        <v>59.4</v>
      </c>
      <c r="L52" s="1" t="n">
        <v>1</v>
      </c>
      <c r="M52" s="1" t="n">
        <v>12.52</v>
      </c>
      <c r="N52" s="1" t="n">
        <v>0.285198556</v>
      </c>
      <c r="O52" s="1" t="n">
        <f aca="false">P52*3/(P52*3+Q52*2+R52)</f>
        <v>0.256128486897718</v>
      </c>
      <c r="P52" s="1" t="n">
        <v>202</v>
      </c>
      <c r="Q52" s="1" t="n">
        <v>635</v>
      </c>
      <c r="R52" s="1" t="n">
        <v>490</v>
      </c>
      <c r="S52" s="1" t="n">
        <v>0.716</v>
      </c>
      <c r="T52" s="1" t="n">
        <v>15</v>
      </c>
      <c r="U52" s="1" t="n">
        <v>24.4</v>
      </c>
      <c r="V52" s="1" t="n">
        <v>0.33333333333333</v>
      </c>
    </row>
    <row r="53" customFormat="false" ht="12.75" hidden="false" customHeight="false" outlineLevel="0" collapsed="false">
      <c r="A53" s="1" t="s">
        <v>65</v>
      </c>
      <c r="B53" s="1" t="n">
        <v>0</v>
      </c>
      <c r="D53" s="1" t="n">
        <v>0.619</v>
      </c>
      <c r="E53" s="1" t="n">
        <v>6</v>
      </c>
      <c r="F53" s="1" t="n">
        <v>0</v>
      </c>
      <c r="G53" s="1" t="n">
        <v>1</v>
      </c>
      <c r="H53" s="1" t="n">
        <v>4</v>
      </c>
      <c r="I53" s="1" t="n">
        <v>5</v>
      </c>
      <c r="J53" s="1" t="n">
        <v>71.6</v>
      </c>
      <c r="K53" s="1" t="n">
        <v>68.7</v>
      </c>
      <c r="L53" s="1" t="n">
        <v>2</v>
      </c>
      <c r="M53" s="1" t="n">
        <v>11.82</v>
      </c>
      <c r="N53" s="1" t="n">
        <v>0.305418719</v>
      </c>
      <c r="O53" s="1" t="n">
        <f aca="false">P53*3/(P53*3+Q53*2+R53)</f>
        <v>0.255292125317528</v>
      </c>
      <c r="P53" s="1" t="n">
        <v>201</v>
      </c>
      <c r="Q53" s="1" t="n">
        <v>611</v>
      </c>
      <c r="R53" s="1" t="n">
        <v>537</v>
      </c>
      <c r="S53" s="1" t="n">
        <v>0.739</v>
      </c>
      <c r="T53" s="1" t="n">
        <v>16</v>
      </c>
      <c r="U53" s="1" t="n">
        <v>3.9</v>
      </c>
      <c r="V53" s="1" t="n">
        <v>6364</v>
      </c>
    </row>
    <row r="54" customFormat="false" ht="12.75" hidden="false" customHeight="false" outlineLevel="0" collapsed="false">
      <c r="A54" s="1" t="s">
        <v>64</v>
      </c>
      <c r="B54" s="1" t="n">
        <v>4</v>
      </c>
      <c r="D54" s="1" t="n">
        <v>0.8468</v>
      </c>
      <c r="E54" s="1" t="n">
        <v>7</v>
      </c>
      <c r="F54" s="1" t="n">
        <v>0</v>
      </c>
      <c r="G54" s="1" t="n">
        <v>1</v>
      </c>
      <c r="H54" s="1" t="n">
        <v>13</v>
      </c>
      <c r="I54" s="1" t="n">
        <v>2</v>
      </c>
      <c r="J54" s="1" t="n">
        <v>72.5</v>
      </c>
      <c r="K54" s="1" t="n">
        <v>59.8</v>
      </c>
      <c r="L54" s="1" t="n">
        <v>2</v>
      </c>
      <c r="M54" s="1" t="n">
        <v>12.23</v>
      </c>
      <c r="N54" s="1" t="n">
        <v>0.33496572</v>
      </c>
      <c r="O54" s="1" t="n">
        <f aca="false">P54*3/(P54*3+Q54*2+R54)</f>
        <v>0.287049399198932</v>
      </c>
      <c r="P54" s="1" t="n">
        <v>215</v>
      </c>
      <c r="Q54" s="1" t="n">
        <v>622</v>
      </c>
      <c r="R54" s="1" t="n">
        <v>358</v>
      </c>
      <c r="S54" s="1" t="n">
        <v>0.666</v>
      </c>
      <c r="T54" s="1" t="n">
        <v>15</v>
      </c>
      <c r="U54" s="1" t="n">
        <v>17.6</v>
      </c>
      <c r="V54" s="1" t="n">
        <v>0.66666666666667</v>
      </c>
    </row>
    <row r="55" customFormat="false" ht="12.75" hidden="false" customHeight="false" outlineLevel="0" collapsed="false">
      <c r="A55" s="1" t="s">
        <v>378</v>
      </c>
      <c r="B55" s="1" t="n">
        <v>2</v>
      </c>
      <c r="D55" s="1" t="n">
        <v>0.8394</v>
      </c>
      <c r="E55" s="1" t="n">
        <v>9</v>
      </c>
      <c r="F55" s="1" t="n">
        <v>1</v>
      </c>
      <c r="G55" s="1" t="n">
        <v>0</v>
      </c>
      <c r="H55" s="1" t="n">
        <v>5</v>
      </c>
      <c r="I55" s="1" t="n">
        <v>2</v>
      </c>
      <c r="J55" s="1" t="n">
        <v>75.3</v>
      </c>
      <c r="K55" s="1" t="n">
        <v>67.1</v>
      </c>
      <c r="L55" s="1" t="n">
        <v>0</v>
      </c>
      <c r="M55" s="1" t="n">
        <v>11.29</v>
      </c>
      <c r="N55" s="1" t="n">
        <v>0.348896435</v>
      </c>
      <c r="O55" s="1" t="n">
        <f aca="false">P55*3/(P55*3+Q55*2+R55)</f>
        <v>0.30715123094959</v>
      </c>
      <c r="P55" s="1" t="n">
        <v>262</v>
      </c>
      <c r="Q55" s="1" t="n">
        <v>646</v>
      </c>
      <c r="R55" s="1" t="n">
        <v>481</v>
      </c>
      <c r="S55" s="1" t="n">
        <v>0.716</v>
      </c>
      <c r="T55" s="1" t="n">
        <v>17</v>
      </c>
      <c r="U55" s="1" t="n">
        <v>12.1</v>
      </c>
      <c r="V55" s="1" t="n">
        <v>0.7778</v>
      </c>
    </row>
    <row r="56" customFormat="false" ht="12.75" hidden="false" customHeight="false" outlineLevel="0" collapsed="false">
      <c r="A56" s="1" t="s">
        <v>133</v>
      </c>
      <c r="B56" s="1" t="n">
        <v>2</v>
      </c>
      <c r="D56" s="1" t="n">
        <v>0.6048</v>
      </c>
      <c r="E56" s="1" t="n">
        <v>5</v>
      </c>
      <c r="F56" s="1" t="n">
        <v>0</v>
      </c>
      <c r="G56" s="1" t="n">
        <v>1</v>
      </c>
      <c r="H56" s="1" t="n">
        <v>5</v>
      </c>
      <c r="I56" s="1" t="n">
        <v>5</v>
      </c>
      <c r="J56" s="1" t="n">
        <v>76.6</v>
      </c>
      <c r="K56" s="1" t="n">
        <v>70.5</v>
      </c>
      <c r="L56" s="1" t="n">
        <v>1</v>
      </c>
      <c r="M56" s="1" t="n">
        <v>12.55</v>
      </c>
      <c r="N56" s="1" t="n">
        <v>0.3</v>
      </c>
      <c r="O56" s="1" t="n">
        <f aca="false">P56*3/(P56*3+Q56*2+R56)</f>
        <v>0.361415332771693</v>
      </c>
      <c r="P56" s="1" t="n">
        <v>286</v>
      </c>
      <c r="Q56" s="1" t="n">
        <v>544</v>
      </c>
      <c r="R56" s="1" t="n">
        <v>428</v>
      </c>
      <c r="S56" s="1" t="n">
        <v>0.729</v>
      </c>
      <c r="T56" s="1" t="n">
        <v>18</v>
      </c>
      <c r="U56" s="1" t="n">
        <v>8.8</v>
      </c>
      <c r="V56" s="1" t="n">
        <v>0.7273</v>
      </c>
    </row>
    <row r="57" customFormat="false" ht="12.75" hidden="false" customHeight="false" outlineLevel="0" collapsed="false">
      <c r="A57" s="1" t="s">
        <v>207</v>
      </c>
      <c r="B57" s="1" t="n">
        <v>1</v>
      </c>
      <c r="D57" s="1" t="n">
        <v>0.8089</v>
      </c>
      <c r="E57" s="1" t="n">
        <v>8</v>
      </c>
      <c r="F57" s="1" t="n">
        <v>1</v>
      </c>
      <c r="G57" s="1" t="n">
        <v>0</v>
      </c>
      <c r="H57" s="1" t="n">
        <v>2</v>
      </c>
      <c r="I57" s="1" t="n">
        <v>2</v>
      </c>
      <c r="J57" s="1" t="n">
        <v>74.8</v>
      </c>
      <c r="K57" s="1" t="n">
        <v>65.7</v>
      </c>
      <c r="L57" s="1" t="n">
        <v>1</v>
      </c>
      <c r="M57" s="1" t="n">
        <v>11.39</v>
      </c>
      <c r="N57" s="1" t="n">
        <v>0.361818182</v>
      </c>
      <c r="O57" s="1" t="n">
        <f aca="false">P57*3/(P57*3+Q57*2+R57)</f>
        <v>0.277147487844408</v>
      </c>
      <c r="P57" s="1" t="n">
        <v>228</v>
      </c>
      <c r="Q57" s="1" t="n">
        <v>618</v>
      </c>
      <c r="R57" s="1" t="n">
        <v>548</v>
      </c>
      <c r="S57" s="1" t="n">
        <v>0.728</v>
      </c>
      <c r="T57" s="1" t="n">
        <v>19</v>
      </c>
      <c r="U57" s="1" t="n">
        <v>14.1</v>
      </c>
      <c r="V57" s="1" t="n">
        <v>0.5</v>
      </c>
    </row>
    <row r="58" customFormat="false" ht="12.75" hidden="false" customHeight="false" outlineLevel="0" collapsed="false">
      <c r="A58" s="1" t="s">
        <v>135</v>
      </c>
      <c r="B58" s="1" t="n">
        <v>0</v>
      </c>
      <c r="D58" s="1" t="n">
        <v>0.6689</v>
      </c>
      <c r="E58" s="1" t="n">
        <v>7</v>
      </c>
      <c r="F58" s="1" t="n">
        <v>0</v>
      </c>
      <c r="G58" s="1" t="n">
        <v>1</v>
      </c>
      <c r="H58" s="1" t="n">
        <v>5</v>
      </c>
      <c r="I58" s="1" t="n">
        <v>6</v>
      </c>
      <c r="J58" s="1" t="n">
        <v>72.9</v>
      </c>
      <c r="K58" s="1" t="n">
        <v>64.8</v>
      </c>
      <c r="L58" s="1" t="n">
        <v>2</v>
      </c>
      <c r="M58" s="1" t="n">
        <v>13.81</v>
      </c>
      <c r="N58" s="1" t="n">
        <v>0.366752356</v>
      </c>
      <c r="O58" s="1" t="n">
        <f aca="false">P58*3/(P58*3+Q58*2+R58)</f>
        <v>0.309768637532134</v>
      </c>
      <c r="P58" s="1" t="n">
        <v>241</v>
      </c>
      <c r="Q58" s="1" t="n">
        <v>516</v>
      </c>
      <c r="R58" s="1" t="n">
        <v>579</v>
      </c>
      <c r="S58" s="1" t="n">
        <v>0.781</v>
      </c>
      <c r="T58" s="1" t="n">
        <v>17</v>
      </c>
      <c r="U58" s="1" t="n">
        <v>11.8</v>
      </c>
      <c r="V58" s="1" t="n">
        <v>0.4444</v>
      </c>
    </row>
    <row r="59" customFormat="false" ht="12.75" hidden="false" customHeight="false" outlineLevel="0" collapsed="false">
      <c r="A59" s="1" t="s">
        <v>20</v>
      </c>
      <c r="B59" s="1" t="n">
        <v>1</v>
      </c>
      <c r="D59" s="1" t="n">
        <v>0.633</v>
      </c>
      <c r="E59" s="1" t="n">
        <v>6</v>
      </c>
      <c r="F59" s="1" t="n">
        <v>0</v>
      </c>
      <c r="G59" s="1" t="n">
        <v>1</v>
      </c>
      <c r="H59" s="1" t="n">
        <v>7</v>
      </c>
      <c r="I59" s="1" t="n">
        <v>5</v>
      </c>
      <c r="J59" s="1" t="n">
        <v>76.8</v>
      </c>
      <c r="K59" s="1" t="n">
        <v>72.2</v>
      </c>
      <c r="L59" s="1" t="n">
        <v>0</v>
      </c>
      <c r="M59" s="1" t="n">
        <v>13.9</v>
      </c>
      <c r="N59" s="1" t="n">
        <v>0.34040747</v>
      </c>
      <c r="O59" s="1" t="n">
        <f aca="false">P59*3/(P59*3+Q59*2+R59)</f>
        <v>0.313665943600868</v>
      </c>
      <c r="P59" s="1" t="n">
        <v>241</v>
      </c>
      <c r="Q59" s="1" t="n">
        <v>523</v>
      </c>
      <c r="R59" s="1" t="n">
        <v>536</v>
      </c>
      <c r="S59" s="1" t="n">
        <v>0.742</v>
      </c>
      <c r="T59" s="1" t="n">
        <v>19</v>
      </c>
      <c r="U59" s="1" t="n">
        <v>8.7</v>
      </c>
      <c r="V59" s="1" t="n">
        <v>0.54545454545455</v>
      </c>
    </row>
    <row r="60" customFormat="false" ht="12.75" hidden="false" customHeight="false" outlineLevel="0" collapsed="false">
      <c r="A60" s="1" t="s">
        <v>56</v>
      </c>
      <c r="B60" s="1" t="n">
        <v>1</v>
      </c>
      <c r="D60" s="1" t="n">
        <v>0.6466</v>
      </c>
      <c r="E60" s="1" t="n">
        <v>5</v>
      </c>
      <c r="F60" s="1" t="n">
        <v>0</v>
      </c>
      <c r="G60" s="1" t="n">
        <v>1</v>
      </c>
      <c r="H60" s="1" t="n">
        <v>8</v>
      </c>
      <c r="I60" s="1" t="n">
        <v>4</v>
      </c>
      <c r="J60" s="1" t="n">
        <v>72.8</v>
      </c>
      <c r="K60" s="1" t="n">
        <v>64.7</v>
      </c>
      <c r="L60" s="1" t="n">
        <v>0</v>
      </c>
      <c r="M60" s="1" t="n">
        <v>10.97</v>
      </c>
      <c r="N60" s="1" t="n">
        <v>0.330555556</v>
      </c>
      <c r="O60" s="1" t="n">
        <f aca="false">P60*3/(P60*3+Q60*2+R60)</f>
        <v>0.199914015477214</v>
      </c>
      <c r="P60" s="1" t="n">
        <v>155</v>
      </c>
      <c r="Q60" s="1" t="n">
        <v>697</v>
      </c>
      <c r="R60" s="1" t="n">
        <v>467</v>
      </c>
      <c r="S60" s="1" t="n">
        <v>0.66</v>
      </c>
      <c r="T60" s="1" t="n">
        <v>22</v>
      </c>
      <c r="U60" s="1" t="n">
        <v>11</v>
      </c>
      <c r="V60" s="1" t="n">
        <v>0.5455</v>
      </c>
    </row>
    <row r="61" customFormat="false" ht="12.75" hidden="false" customHeight="false" outlineLevel="0" collapsed="false">
      <c r="A61" s="1" t="s">
        <v>542</v>
      </c>
      <c r="B61" s="1" t="n">
        <v>1</v>
      </c>
      <c r="D61" s="1" t="n">
        <v>0.8014</v>
      </c>
      <c r="E61" s="1" t="n">
        <v>7</v>
      </c>
      <c r="F61" s="1" t="n">
        <v>0</v>
      </c>
      <c r="G61" s="1" t="n">
        <v>1</v>
      </c>
      <c r="H61" s="1" t="n">
        <v>6</v>
      </c>
      <c r="I61" s="1" t="n">
        <v>6</v>
      </c>
      <c r="J61" s="1" t="n">
        <v>66.5</v>
      </c>
      <c r="K61" s="1" t="n">
        <v>59.5</v>
      </c>
      <c r="L61" s="1" t="n">
        <v>0</v>
      </c>
      <c r="M61" s="1" t="n">
        <v>10.31</v>
      </c>
      <c r="N61" s="1" t="n">
        <v>0.258230453</v>
      </c>
      <c r="O61" s="1" t="n">
        <f aca="false">P61*3/(P61*3+Q61*2+R61)</f>
        <v>0.259276655706905</v>
      </c>
      <c r="P61" s="1" t="n">
        <v>184</v>
      </c>
      <c r="Q61" s="1" t="n">
        <v>588</v>
      </c>
      <c r="R61" s="1" t="n">
        <v>401</v>
      </c>
      <c r="S61" s="1" t="n">
        <v>0.717</v>
      </c>
      <c r="T61" s="1" t="n">
        <v>17</v>
      </c>
      <c r="U61" s="1" t="n">
        <v>11.6</v>
      </c>
      <c r="V61" s="1" t="n">
        <v>0.5833</v>
      </c>
    </row>
    <row r="62" customFormat="false" ht="12.75" hidden="false" customHeight="false" outlineLevel="0" collapsed="false">
      <c r="A62" s="1" t="s">
        <v>543</v>
      </c>
      <c r="B62" s="1" t="n">
        <v>0</v>
      </c>
      <c r="D62" s="1" t="n">
        <v>0.6293</v>
      </c>
      <c r="E62" s="1" t="n">
        <v>8</v>
      </c>
      <c r="F62" s="1" t="n">
        <v>1</v>
      </c>
      <c r="G62" s="1" t="n">
        <v>0</v>
      </c>
      <c r="H62" s="1" t="n">
        <v>0</v>
      </c>
      <c r="I62" s="1" t="n">
        <v>1</v>
      </c>
      <c r="J62" s="1" t="n">
        <v>71.7</v>
      </c>
      <c r="K62" s="1" t="n">
        <v>70.9</v>
      </c>
      <c r="L62" s="1" t="n">
        <v>0</v>
      </c>
      <c r="M62" s="1" t="n">
        <v>16.06</v>
      </c>
      <c r="N62" s="1" t="n">
        <v>0.293658537</v>
      </c>
      <c r="O62" s="1" t="n">
        <f aca="false">P62*3/(P62*3+Q62*2+R62)</f>
        <v>0.241456834532374</v>
      </c>
      <c r="P62" s="1" t="n">
        <v>179</v>
      </c>
      <c r="Q62" s="1" t="n">
        <v>580</v>
      </c>
      <c r="R62" s="1" t="n">
        <v>527</v>
      </c>
      <c r="S62" s="1" t="n">
        <v>0.672</v>
      </c>
      <c r="T62" s="1" t="n">
        <v>10</v>
      </c>
      <c r="U62" s="1" t="n">
        <v>2.4</v>
      </c>
      <c r="V62" s="1" t="n">
        <v>0.6667</v>
      </c>
    </row>
    <row r="63" customFormat="false" ht="12.75" hidden="false" customHeight="false" outlineLevel="0" collapsed="false">
      <c r="A63" s="1" t="s">
        <v>137</v>
      </c>
      <c r="B63" s="1" t="n">
        <v>1</v>
      </c>
      <c r="D63" s="1" t="n">
        <v>0.8971</v>
      </c>
      <c r="E63" s="1" t="n">
        <v>10</v>
      </c>
      <c r="F63" s="1" t="n">
        <v>1</v>
      </c>
      <c r="G63" s="1" t="n">
        <v>0</v>
      </c>
      <c r="H63" s="1" t="n">
        <v>1</v>
      </c>
      <c r="I63" s="1" t="n">
        <v>4</v>
      </c>
      <c r="J63" s="1" t="n">
        <v>75.3</v>
      </c>
      <c r="K63" s="1" t="n">
        <v>63.3</v>
      </c>
      <c r="L63" s="1" t="n">
        <v>2</v>
      </c>
      <c r="M63" s="1" t="n">
        <v>13.03</v>
      </c>
      <c r="N63" s="1" t="n">
        <v>0.328881469</v>
      </c>
      <c r="O63" s="1" t="n">
        <f aca="false">P63*3/(P63*3+Q63*2+R63)</f>
        <v>0.326141078838174</v>
      </c>
      <c r="P63" s="1" t="n">
        <v>262</v>
      </c>
      <c r="Q63" s="1" t="n">
        <v>609</v>
      </c>
      <c r="R63" s="1" t="n">
        <v>406</v>
      </c>
      <c r="S63" s="1" t="n">
        <v>0.625</v>
      </c>
      <c r="T63" s="1" t="n">
        <v>21</v>
      </c>
      <c r="U63" s="1" t="n">
        <v>20.1</v>
      </c>
      <c r="V63" s="1" t="n">
        <v>0.8333</v>
      </c>
    </row>
    <row r="64" customFormat="false" ht="12.75" hidden="false" customHeight="false" outlineLevel="0" collapsed="false">
      <c r="A64" s="1" t="s">
        <v>138</v>
      </c>
      <c r="B64" s="1" t="n">
        <v>1</v>
      </c>
      <c r="D64" s="1" t="n">
        <v>0.8643</v>
      </c>
      <c r="E64" s="1" t="n">
        <v>7</v>
      </c>
      <c r="F64" s="1" t="n">
        <v>0</v>
      </c>
      <c r="G64" s="1" t="n">
        <v>1</v>
      </c>
      <c r="H64" s="1" t="n">
        <v>9</v>
      </c>
      <c r="I64" s="1" t="n">
        <v>4</v>
      </c>
      <c r="J64" s="1" t="n">
        <v>70.1</v>
      </c>
      <c r="K64" s="1" t="n">
        <v>57.9</v>
      </c>
      <c r="L64" s="1" t="n">
        <v>3</v>
      </c>
      <c r="M64" s="1" t="n">
        <v>11.44</v>
      </c>
      <c r="N64" s="1" t="n">
        <v>0.323554065</v>
      </c>
      <c r="O64" s="1" t="n">
        <f aca="false">P64*3/(P64*3+Q64*2+R64)</f>
        <v>0.249265631556861</v>
      </c>
      <c r="P64" s="1" t="n">
        <v>198</v>
      </c>
      <c r="Q64" s="1" t="n">
        <v>626</v>
      </c>
      <c r="R64" s="1" t="n">
        <v>537</v>
      </c>
      <c r="S64" s="1" t="n">
        <v>0.688</v>
      </c>
      <c r="T64" s="1" t="n">
        <v>19</v>
      </c>
      <c r="U64" s="1" t="n">
        <v>19.4</v>
      </c>
      <c r="V64" s="1" t="n">
        <v>0.5</v>
      </c>
    </row>
    <row r="65" customFormat="false" ht="12.75" hidden="false" customHeight="false" outlineLevel="0" collapsed="false">
      <c r="A65" s="1" t="s">
        <v>544</v>
      </c>
      <c r="B65" s="1" t="n">
        <v>0</v>
      </c>
      <c r="D65" s="1" t="n">
        <v>0.7652</v>
      </c>
      <c r="E65" s="1" t="n">
        <v>9</v>
      </c>
      <c r="F65" s="1" t="n">
        <v>1</v>
      </c>
      <c r="G65" s="1" t="n">
        <v>0</v>
      </c>
      <c r="H65" s="1" t="n">
        <v>4</v>
      </c>
      <c r="I65" s="1" t="n">
        <v>1</v>
      </c>
      <c r="J65" s="1" t="n">
        <v>64.6</v>
      </c>
      <c r="K65" s="1" t="n">
        <v>62.2</v>
      </c>
      <c r="L65" s="1" t="n">
        <v>0</v>
      </c>
      <c r="M65" s="1" t="n">
        <v>12.25</v>
      </c>
      <c r="N65" s="1" t="n">
        <v>0.311650485</v>
      </c>
      <c r="O65" s="1" t="n">
        <f aca="false">P65*3/(P65*3+Q65*2+R65)</f>
        <v>0.253991291727141</v>
      </c>
      <c r="P65" s="1" t="n">
        <v>175</v>
      </c>
      <c r="Q65" s="1" t="n">
        <v>568</v>
      </c>
      <c r="R65" s="1" t="n">
        <v>406</v>
      </c>
      <c r="S65" s="1" t="n">
        <v>0.732</v>
      </c>
      <c r="T65" s="1" t="n">
        <v>15</v>
      </c>
      <c r="U65" s="1" t="n">
        <v>3.6</v>
      </c>
      <c r="V65" s="1" t="n">
        <v>0.75</v>
      </c>
    </row>
    <row r="66" customFormat="false" ht="12.75" hidden="false" customHeight="false" outlineLevel="0" collapsed="false">
      <c r="A66" s="1" t="s">
        <v>36</v>
      </c>
      <c r="B66" s="1" t="n">
        <v>1</v>
      </c>
      <c r="D66" s="1" t="n">
        <v>0.7538</v>
      </c>
      <c r="E66" s="1" t="n">
        <v>9</v>
      </c>
      <c r="F66" s="1" t="n">
        <v>0</v>
      </c>
      <c r="G66" s="1" t="n">
        <v>0</v>
      </c>
      <c r="H66" s="1" t="n">
        <v>5</v>
      </c>
      <c r="I66" s="1" t="n">
        <v>1</v>
      </c>
      <c r="J66" s="1" t="n">
        <v>76.4</v>
      </c>
      <c r="K66" s="1" t="n">
        <v>65.5</v>
      </c>
      <c r="L66" s="1" t="n">
        <v>2</v>
      </c>
      <c r="M66" s="1" t="n">
        <v>12.88</v>
      </c>
      <c r="N66" s="1" t="n">
        <v>0.322550832</v>
      </c>
      <c r="O66" s="1" t="n">
        <f aca="false">P66*3/(P66*3+Q66*2+R66)</f>
        <v>0.310429447852761</v>
      </c>
      <c r="P66" s="1" t="n">
        <v>253</v>
      </c>
      <c r="Q66" s="1" t="n">
        <v>546</v>
      </c>
      <c r="R66" s="1" t="n">
        <v>594</v>
      </c>
      <c r="S66" s="1" t="n">
        <v>0.741</v>
      </c>
      <c r="T66" s="1" t="n">
        <v>21</v>
      </c>
      <c r="U66" s="1" t="n">
        <v>16.2</v>
      </c>
      <c r="V66" s="1" t="n">
        <v>0.33333333333333</v>
      </c>
    </row>
    <row r="67" customFormat="false" ht="12.75" hidden="false" customHeight="false" outlineLevel="0" collapsed="false">
      <c r="D67" s="1" t="s">
        <v>545</v>
      </c>
    </row>
    <row r="68" customFormat="false" ht="12.75" hidden="false" customHeight="false" outlineLevel="0" collapsed="false">
      <c r="D68" s="1" t="s">
        <v>545</v>
      </c>
    </row>
    <row r="69" customFormat="false" ht="12.75" hidden="false" customHeight="false" outlineLevel="0" collapsed="false">
      <c r="D69" s="1" t="s">
        <v>545</v>
      </c>
    </row>
    <row r="70" customFormat="false" ht="12.75" hidden="false" customHeight="false" outlineLevel="0" collapsed="false">
      <c r="D70" s="1" t="s">
        <v>545</v>
      </c>
    </row>
    <row r="71" customFormat="false" ht="12.75" hidden="false" customHeight="false" outlineLevel="0" collapsed="false">
      <c r="D71" s="1" t="s">
        <v>545</v>
      </c>
    </row>
    <row r="72" customFormat="false" ht="12.75" hidden="false" customHeight="false" outlineLevel="0" collapsed="false">
      <c r="D72" s="1" t="s">
        <v>545</v>
      </c>
    </row>
    <row r="73" customFormat="false" ht="12.75" hidden="false" customHeight="false" outlineLevel="0" collapsed="false">
      <c r="D73" s="1" t="s">
        <v>545</v>
      </c>
    </row>
    <row r="74" customFormat="false" ht="12.75" hidden="false" customHeight="false" outlineLevel="0" collapsed="false">
      <c r="D74" s="1" t="s">
        <v>545</v>
      </c>
    </row>
    <row r="75" customFormat="false" ht="12.75" hidden="false" customHeight="false" outlineLevel="0" collapsed="false">
      <c r="D75" s="1" t="s">
        <v>545</v>
      </c>
    </row>
    <row r="76" customFormat="false" ht="12.75" hidden="false" customHeight="false" outlineLevel="0" collapsed="false">
      <c r="D76" s="1" t="s">
        <v>545</v>
      </c>
    </row>
    <row r="77" customFormat="false" ht="12.75" hidden="false" customHeight="false" outlineLevel="0" collapsed="false">
      <c r="D77" s="1" t="s">
        <v>545</v>
      </c>
    </row>
    <row r="78" customFormat="false" ht="12.75" hidden="false" customHeight="false" outlineLevel="0" collapsed="false">
      <c r="D78" s="1" t="s">
        <v>545</v>
      </c>
    </row>
    <row r="79" customFormat="false" ht="12.75" hidden="false" customHeight="false" outlineLevel="0" collapsed="false">
      <c r="D79" s="1" t="s">
        <v>545</v>
      </c>
    </row>
    <row r="80" customFormat="false" ht="12.75" hidden="false" customHeight="false" outlineLevel="0" collapsed="false">
      <c r="D80" s="1" t="s">
        <v>545</v>
      </c>
    </row>
    <row r="81" customFormat="false" ht="12.75" hidden="false" customHeight="false" outlineLevel="0" collapsed="false">
      <c r="D81" s="1" t="s">
        <v>545</v>
      </c>
    </row>
    <row r="82" customFormat="false" ht="12.75" hidden="false" customHeight="false" outlineLevel="0" collapsed="false">
      <c r="D82" s="1" t="s">
        <v>545</v>
      </c>
    </row>
    <row r="83" customFormat="false" ht="12.75" hidden="false" customHeight="false" outlineLevel="0" collapsed="false">
      <c r="D83" s="1" t="s">
        <v>545</v>
      </c>
    </row>
    <row r="84" customFormat="false" ht="12.75" hidden="false" customHeight="false" outlineLevel="0" collapsed="false">
      <c r="D84" s="1" t="s">
        <v>545</v>
      </c>
    </row>
    <row r="85" customFormat="false" ht="12.75" hidden="false" customHeight="false" outlineLevel="0" collapsed="false">
      <c r="D85" s="1" t="s">
        <v>545</v>
      </c>
    </row>
    <row r="86" customFormat="false" ht="12.75" hidden="false" customHeight="false" outlineLevel="0" collapsed="false">
      <c r="D86" s="1" t="s">
        <v>545</v>
      </c>
    </row>
    <row r="87" customFormat="false" ht="12.75" hidden="false" customHeight="false" outlineLevel="0" collapsed="false">
      <c r="D87" s="1" t="s">
        <v>545</v>
      </c>
    </row>
    <row r="88" customFormat="false" ht="12.75" hidden="false" customHeight="false" outlineLevel="0" collapsed="false">
      <c r="D88" s="1" t="s">
        <v>545</v>
      </c>
    </row>
    <row r="89" customFormat="false" ht="12.75" hidden="false" customHeight="false" outlineLevel="0" collapsed="false">
      <c r="D89" s="1" t="s">
        <v>545</v>
      </c>
    </row>
    <row r="90" customFormat="false" ht="12.75" hidden="false" customHeight="false" outlineLevel="0" collapsed="false">
      <c r="D90" s="1" t="s">
        <v>545</v>
      </c>
    </row>
    <row r="91" customFormat="false" ht="12.75" hidden="false" customHeight="false" outlineLevel="0" collapsed="false">
      <c r="D91" s="1" t="s">
        <v>545</v>
      </c>
    </row>
    <row r="92" customFormat="false" ht="12.75" hidden="false" customHeight="false" outlineLevel="0" collapsed="false">
      <c r="D92" s="1" t="s">
        <v>545</v>
      </c>
    </row>
    <row r="93" customFormat="false" ht="12.75" hidden="false" customHeight="false" outlineLevel="0" collapsed="false">
      <c r="D93" s="1" t="s">
        <v>545</v>
      </c>
    </row>
    <row r="94" customFormat="false" ht="12.75" hidden="false" customHeight="false" outlineLevel="0" collapsed="false">
      <c r="D94" s="1" t="s">
        <v>545</v>
      </c>
    </row>
    <row r="95" customFormat="false" ht="12.75" hidden="false" customHeight="false" outlineLevel="0" collapsed="false">
      <c r="D95" s="1" t="s">
        <v>545</v>
      </c>
    </row>
    <row r="96" customFormat="false" ht="12.75" hidden="false" customHeight="false" outlineLevel="0" collapsed="false">
      <c r="D96" s="1" t="s">
        <v>545</v>
      </c>
    </row>
    <row r="97" customFormat="false" ht="12.75" hidden="false" customHeight="false" outlineLevel="0" collapsed="false">
      <c r="D97" s="1" t="s">
        <v>545</v>
      </c>
    </row>
    <row r="98" customFormat="false" ht="12.75" hidden="false" customHeight="false" outlineLevel="0" collapsed="false">
      <c r="D98" s="1" t="s">
        <v>545</v>
      </c>
    </row>
    <row r="99" customFormat="false" ht="12.75" hidden="false" customHeight="false" outlineLevel="0" collapsed="false">
      <c r="D99" s="1" t="s">
        <v>545</v>
      </c>
    </row>
    <row r="100" customFormat="false" ht="12.75" hidden="false" customHeight="false" outlineLevel="0" collapsed="false">
      <c r="D100" s="1" t="s">
        <v>545</v>
      </c>
    </row>
    <row r="101" customFormat="false" ht="12.75" hidden="false" customHeight="false" outlineLevel="0" collapsed="false">
      <c r="D101" s="1" t="s">
        <v>545</v>
      </c>
    </row>
    <row r="102" customFormat="false" ht="12.75" hidden="false" customHeight="false" outlineLevel="0" collapsed="false">
      <c r="D102" s="1" t="s">
        <v>545</v>
      </c>
    </row>
    <row r="103" customFormat="false" ht="12.75" hidden="false" customHeight="false" outlineLevel="0" collapsed="false">
      <c r="D103" s="1" t="s">
        <v>545</v>
      </c>
    </row>
    <row r="104" customFormat="false" ht="12.75" hidden="false" customHeight="false" outlineLevel="0" collapsed="false">
      <c r="D104" s="1" t="s">
        <v>545</v>
      </c>
    </row>
    <row r="105" customFormat="false" ht="12.75" hidden="false" customHeight="false" outlineLevel="0" collapsed="false">
      <c r="D105" s="1" t="s">
        <v>545</v>
      </c>
    </row>
    <row r="106" customFormat="false" ht="12.75" hidden="false" customHeight="false" outlineLevel="0" collapsed="false">
      <c r="D106" s="1" t="s">
        <v>545</v>
      </c>
    </row>
    <row r="107" customFormat="false" ht="12.75" hidden="false" customHeight="false" outlineLevel="0" collapsed="false">
      <c r="D107" s="1" t="s">
        <v>545</v>
      </c>
    </row>
    <row r="108" customFormat="false" ht="12.75" hidden="false" customHeight="false" outlineLevel="0" collapsed="false">
      <c r="D108" s="1" t="s">
        <v>545</v>
      </c>
    </row>
    <row r="109" customFormat="false" ht="12.75" hidden="false" customHeight="false" outlineLevel="0" collapsed="false">
      <c r="D109" s="1" t="s">
        <v>545</v>
      </c>
    </row>
    <row r="110" customFormat="false" ht="12.75" hidden="false" customHeight="false" outlineLevel="0" collapsed="false">
      <c r="D110" s="1" t="s">
        <v>545</v>
      </c>
    </row>
    <row r="111" customFormat="false" ht="12.75" hidden="false" customHeight="false" outlineLevel="0" collapsed="false">
      <c r="D111" s="1" t="s">
        <v>545</v>
      </c>
    </row>
    <row r="112" customFormat="false" ht="12.75" hidden="false" customHeight="false" outlineLevel="0" collapsed="false">
      <c r="D112" s="1" t="s">
        <v>545</v>
      </c>
    </row>
    <row r="113" customFormat="false" ht="12.75" hidden="false" customHeight="false" outlineLevel="0" collapsed="false">
      <c r="D113" s="1" t="s">
        <v>545</v>
      </c>
    </row>
    <row r="114" customFormat="false" ht="12.75" hidden="false" customHeight="false" outlineLevel="0" collapsed="false">
      <c r="D114" s="1" t="s">
        <v>545</v>
      </c>
    </row>
    <row r="115" customFormat="false" ht="12.75" hidden="false" customHeight="false" outlineLevel="0" collapsed="false">
      <c r="D115" s="1" t="s">
        <v>545</v>
      </c>
    </row>
    <row r="116" customFormat="false" ht="12.75" hidden="false" customHeight="false" outlineLevel="0" collapsed="false">
      <c r="D116" s="1" t="s">
        <v>545</v>
      </c>
    </row>
    <row r="117" customFormat="false" ht="12.75" hidden="false" customHeight="false" outlineLevel="0" collapsed="false">
      <c r="D117" s="1" t="s">
        <v>545</v>
      </c>
    </row>
    <row r="118" customFormat="false" ht="12.75" hidden="false" customHeight="false" outlineLevel="0" collapsed="false">
      <c r="D118" s="1" t="s">
        <v>545</v>
      </c>
    </row>
    <row r="119" customFormat="false" ht="12.75" hidden="false" customHeight="false" outlineLevel="0" collapsed="false">
      <c r="D119" s="1" t="s">
        <v>545</v>
      </c>
    </row>
    <row r="120" customFormat="false" ht="12.75" hidden="false" customHeight="false" outlineLevel="0" collapsed="false">
      <c r="D120" s="1" t="s">
        <v>545</v>
      </c>
    </row>
    <row r="121" customFormat="false" ht="12.75" hidden="false" customHeight="false" outlineLevel="0" collapsed="false">
      <c r="D121" s="1" t="s">
        <v>545</v>
      </c>
    </row>
    <row r="122" customFormat="false" ht="12.75" hidden="false" customHeight="false" outlineLevel="0" collapsed="false">
      <c r="D122" s="1" t="s">
        <v>545</v>
      </c>
    </row>
    <row r="123" customFormat="false" ht="12.75" hidden="false" customHeight="false" outlineLevel="0" collapsed="false">
      <c r="D123" s="1" t="s">
        <v>545</v>
      </c>
    </row>
    <row r="124" customFormat="false" ht="12.75" hidden="false" customHeight="false" outlineLevel="0" collapsed="false">
      <c r="D124" s="1" t="s">
        <v>545</v>
      </c>
    </row>
    <row r="125" customFormat="false" ht="12.75" hidden="false" customHeight="false" outlineLevel="0" collapsed="false">
      <c r="D125" s="1" t="s">
        <v>545</v>
      </c>
    </row>
    <row r="126" customFormat="false" ht="12.75" hidden="false" customHeight="false" outlineLevel="0" collapsed="false">
      <c r="D126" s="1" t="s">
        <v>545</v>
      </c>
    </row>
    <row r="127" customFormat="false" ht="12.75" hidden="false" customHeight="false" outlineLevel="0" collapsed="false">
      <c r="D127" s="1" t="s">
        <v>545</v>
      </c>
    </row>
    <row r="128" customFormat="false" ht="12.75" hidden="false" customHeight="false" outlineLevel="0" collapsed="false">
      <c r="D128" s="1" t="s">
        <v>545</v>
      </c>
    </row>
    <row r="129" customFormat="false" ht="12.75" hidden="false" customHeight="false" outlineLevel="0" collapsed="false">
      <c r="D129" s="1" t="s">
        <v>545</v>
      </c>
    </row>
    <row r="130" customFormat="false" ht="12.75" hidden="false" customHeight="false" outlineLevel="0" collapsed="false">
      <c r="D130" s="1" t="s">
        <v>545</v>
      </c>
    </row>
    <row r="131" customFormat="false" ht="12.75" hidden="false" customHeight="false" outlineLevel="0" collapsed="false">
      <c r="D131" s="1" t="s">
        <v>545</v>
      </c>
    </row>
    <row r="132" customFormat="false" ht="12.75" hidden="false" customHeight="false" outlineLevel="0" collapsed="false">
      <c r="D132" s="1" t="s">
        <v>545</v>
      </c>
    </row>
    <row r="133" customFormat="false" ht="12.75" hidden="false" customHeight="false" outlineLevel="0" collapsed="false">
      <c r="D133" s="1" t="s">
        <v>545</v>
      </c>
    </row>
    <row r="134" customFormat="false" ht="12.75" hidden="false" customHeight="false" outlineLevel="0" collapsed="false">
      <c r="D134" s="1" t="s">
        <v>545</v>
      </c>
    </row>
    <row r="135" customFormat="false" ht="12.75" hidden="false" customHeight="false" outlineLevel="0" collapsed="false">
      <c r="D135" s="1" t="s">
        <v>545</v>
      </c>
    </row>
    <row r="136" customFormat="false" ht="12.75" hidden="false" customHeight="false" outlineLevel="0" collapsed="false">
      <c r="D136" s="1" t="s">
        <v>545</v>
      </c>
    </row>
    <row r="137" customFormat="false" ht="12.75" hidden="false" customHeight="false" outlineLevel="0" collapsed="false">
      <c r="D137" s="1" t="s">
        <v>545</v>
      </c>
    </row>
    <row r="138" customFormat="false" ht="12.75" hidden="false" customHeight="false" outlineLevel="0" collapsed="false">
      <c r="D138" s="1" t="s">
        <v>545</v>
      </c>
    </row>
    <row r="139" customFormat="false" ht="12.75" hidden="false" customHeight="false" outlineLevel="0" collapsed="false">
      <c r="D139" s="1" t="s">
        <v>545</v>
      </c>
    </row>
    <row r="140" customFormat="false" ht="12.75" hidden="false" customHeight="false" outlineLevel="0" collapsed="false">
      <c r="D140" s="1" t="s">
        <v>545</v>
      </c>
    </row>
    <row r="141" customFormat="false" ht="12.75" hidden="false" customHeight="false" outlineLevel="0" collapsed="false">
      <c r="D141" s="1" t="s">
        <v>545</v>
      </c>
    </row>
    <row r="142" customFormat="false" ht="12.75" hidden="false" customHeight="false" outlineLevel="0" collapsed="false">
      <c r="D142" s="1" t="s">
        <v>545</v>
      </c>
    </row>
    <row r="143" customFormat="false" ht="12.75" hidden="false" customHeight="false" outlineLevel="0" collapsed="false">
      <c r="D143" s="1" t="s">
        <v>545</v>
      </c>
    </row>
    <row r="144" customFormat="false" ht="12.75" hidden="false" customHeight="false" outlineLevel="0" collapsed="false">
      <c r="D144" s="1" t="s">
        <v>545</v>
      </c>
    </row>
    <row r="145" customFormat="false" ht="12.75" hidden="false" customHeight="false" outlineLevel="0" collapsed="false">
      <c r="D145" s="1" t="s">
        <v>545</v>
      </c>
    </row>
    <row r="146" customFormat="false" ht="12.75" hidden="false" customHeight="false" outlineLevel="0" collapsed="false">
      <c r="D146" s="1" t="s">
        <v>545</v>
      </c>
    </row>
    <row r="147" customFormat="false" ht="12.75" hidden="false" customHeight="false" outlineLevel="0" collapsed="false">
      <c r="D147" s="1" t="s">
        <v>545</v>
      </c>
    </row>
    <row r="148" customFormat="false" ht="12.75" hidden="false" customHeight="false" outlineLevel="0" collapsed="false">
      <c r="D148" s="1" t="s">
        <v>545</v>
      </c>
    </row>
    <row r="149" customFormat="false" ht="12.75" hidden="false" customHeight="false" outlineLevel="0" collapsed="false">
      <c r="D149" s="1" t="s">
        <v>545</v>
      </c>
    </row>
    <row r="150" customFormat="false" ht="12.75" hidden="false" customHeight="false" outlineLevel="0" collapsed="false">
      <c r="D150" s="1" t="s">
        <v>545</v>
      </c>
    </row>
    <row r="151" customFormat="false" ht="12.75" hidden="false" customHeight="false" outlineLevel="0" collapsed="false">
      <c r="D151" s="1" t="s">
        <v>545</v>
      </c>
    </row>
    <row r="152" customFormat="false" ht="12.75" hidden="false" customHeight="false" outlineLevel="0" collapsed="false">
      <c r="D152" s="1" t="s">
        <v>545</v>
      </c>
    </row>
    <row r="153" customFormat="false" ht="12.75" hidden="false" customHeight="false" outlineLevel="0" collapsed="false">
      <c r="D153" s="1" t="s">
        <v>545</v>
      </c>
    </row>
    <row r="154" customFormat="false" ht="12.75" hidden="false" customHeight="false" outlineLevel="0" collapsed="false">
      <c r="D154" s="1" t="s">
        <v>545</v>
      </c>
    </row>
    <row r="155" customFormat="false" ht="12.75" hidden="false" customHeight="false" outlineLevel="0" collapsed="false">
      <c r="D155" s="1" t="s">
        <v>545</v>
      </c>
    </row>
    <row r="156" customFormat="false" ht="12.75" hidden="false" customHeight="false" outlineLevel="0" collapsed="false">
      <c r="D156" s="1" t="s">
        <v>545</v>
      </c>
    </row>
    <row r="157" customFormat="false" ht="12.75" hidden="false" customHeight="false" outlineLevel="0" collapsed="false">
      <c r="D157" s="1" t="s">
        <v>545</v>
      </c>
    </row>
    <row r="158" customFormat="false" ht="12.75" hidden="false" customHeight="false" outlineLevel="0" collapsed="false">
      <c r="D158" s="1" t="s">
        <v>545</v>
      </c>
    </row>
    <row r="159" customFormat="false" ht="12.75" hidden="false" customHeight="false" outlineLevel="0" collapsed="false">
      <c r="D159" s="1" t="s">
        <v>545</v>
      </c>
    </row>
    <row r="160" customFormat="false" ht="12.75" hidden="false" customHeight="false" outlineLevel="0" collapsed="false">
      <c r="D160" s="1" t="s">
        <v>545</v>
      </c>
    </row>
    <row r="161" customFormat="false" ht="12.75" hidden="false" customHeight="false" outlineLevel="0" collapsed="false">
      <c r="D161" s="1" t="s">
        <v>545</v>
      </c>
    </row>
    <row r="162" customFormat="false" ht="12.75" hidden="false" customHeight="false" outlineLevel="0" collapsed="false">
      <c r="D162" s="1" t="s">
        <v>545</v>
      </c>
    </row>
    <row r="163" customFormat="false" ht="12.75" hidden="false" customHeight="false" outlineLevel="0" collapsed="false">
      <c r="D163" s="1" t="s">
        <v>545</v>
      </c>
    </row>
    <row r="164" customFormat="false" ht="12.75" hidden="false" customHeight="false" outlineLevel="0" collapsed="false">
      <c r="D164" s="1" t="s">
        <v>545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RowHeight="12.75" zeroHeight="false" outlineLevelRow="0" outlineLevelCol="0"/>
  <cols>
    <col collapsed="false" customWidth="true" hidden="false" outlineLevel="0" max="1" min="1" style="0" width="24.14"/>
    <col collapsed="false" customWidth="true" hidden="false" outlineLevel="0" max="4" min="2" style="0" width="17.29"/>
    <col collapsed="false" customWidth="true" hidden="false" outlineLevel="0" max="5" min="5" style="0" width="19.71"/>
    <col collapsed="false" customWidth="true" hidden="false" outlineLevel="0" max="19" min="6" style="0" width="17.29"/>
    <col collapsed="false" customWidth="true" hidden="false" outlineLevel="0" max="1025" min="20" style="0" width="14.43"/>
  </cols>
  <sheetData>
    <row r="1" customFormat="false" ht="12.75" hidden="false" customHeight="false" outlineLevel="0" collapsed="false">
      <c r="A1" s="1" t="s">
        <v>2</v>
      </c>
      <c r="B1" s="1" t="s">
        <v>213</v>
      </c>
      <c r="D1" s="1" t="s">
        <v>473</v>
      </c>
      <c r="E1" s="1" t="s">
        <v>498</v>
      </c>
      <c r="F1" s="1" t="s">
        <v>442</v>
      </c>
      <c r="G1" s="1" t="s">
        <v>443</v>
      </c>
      <c r="H1" s="1" t="s">
        <v>444</v>
      </c>
      <c r="I1" s="1" t="s">
        <v>445</v>
      </c>
      <c r="J1" s="1" t="s">
        <v>474</v>
      </c>
      <c r="K1" s="1" t="s">
        <v>475</v>
      </c>
      <c r="L1" s="1" t="s">
        <v>446</v>
      </c>
      <c r="M1" s="1" t="s">
        <v>447</v>
      </c>
      <c r="N1" s="1" t="s">
        <v>448</v>
      </c>
      <c r="O1" s="1" t="s">
        <v>476</v>
      </c>
      <c r="P1" s="1" t="s">
        <v>287</v>
      </c>
      <c r="Q1" s="1" t="s">
        <v>451</v>
      </c>
      <c r="R1" s="1" t="s">
        <v>546</v>
      </c>
      <c r="S1" s="1" t="s">
        <v>453</v>
      </c>
    </row>
    <row r="2" customFormat="false" ht="12.75" hidden="false" customHeight="false" outlineLevel="0" collapsed="false">
      <c r="A2" s="1" t="s">
        <v>547</v>
      </c>
      <c r="B2" s="1" t="n">
        <v>0</v>
      </c>
      <c r="D2" s="1" t="n">
        <v>0.785714286</v>
      </c>
      <c r="E2" s="1" t="n">
        <v>7</v>
      </c>
      <c r="F2" s="1" t="n">
        <v>0</v>
      </c>
      <c r="G2" s="1" t="n">
        <v>0</v>
      </c>
      <c r="H2" s="1" t="n">
        <v>1</v>
      </c>
      <c r="I2" s="1" t="n">
        <v>2</v>
      </c>
      <c r="J2" s="1" t="n">
        <v>64</v>
      </c>
      <c r="K2" s="1" t="n">
        <v>55.6</v>
      </c>
      <c r="L2" s="1" t="n">
        <v>1</v>
      </c>
      <c r="M2" s="1" t="n">
        <v>10.8</v>
      </c>
      <c r="N2" s="1" t="n">
        <v>0.271390374</v>
      </c>
      <c r="O2" s="1" t="n">
        <v>0.4125</v>
      </c>
      <c r="P2" s="1" t="n">
        <v>0.745</v>
      </c>
      <c r="Q2" s="1" t="n">
        <v>18</v>
      </c>
      <c r="R2" s="1" t="n">
        <v>16.7</v>
      </c>
      <c r="S2" s="1" t="n">
        <v>0.7</v>
      </c>
    </row>
    <row r="3" customFormat="false" ht="12.75" hidden="false" customHeight="false" outlineLevel="0" collapsed="false">
      <c r="A3" s="1" t="s">
        <v>57</v>
      </c>
      <c r="B3" s="1" t="n">
        <v>1</v>
      </c>
      <c r="D3" s="1" t="n">
        <v>0.586206897</v>
      </c>
      <c r="E3" s="1" t="n">
        <v>6</v>
      </c>
      <c r="F3" s="1" t="n">
        <v>0</v>
      </c>
      <c r="G3" s="1" t="n">
        <v>1</v>
      </c>
      <c r="H3" s="1" t="n">
        <v>6</v>
      </c>
      <c r="I3" s="1" t="n">
        <v>6</v>
      </c>
      <c r="J3" s="1" t="n">
        <v>70</v>
      </c>
      <c r="K3" s="1" t="n">
        <v>67.5</v>
      </c>
      <c r="L3" s="1" t="n">
        <v>3</v>
      </c>
      <c r="M3" s="1" t="n">
        <v>13.52</v>
      </c>
      <c r="N3" s="1" t="n">
        <v>0.338303821</v>
      </c>
      <c r="O3" s="1" t="n">
        <v>0.235714286</v>
      </c>
      <c r="P3" s="1" t="n">
        <v>0.708</v>
      </c>
      <c r="Q3" s="1" t="n">
        <v>13</v>
      </c>
      <c r="R3" s="1" t="n">
        <v>4.1</v>
      </c>
      <c r="S3" s="1" t="n">
        <v>0.75</v>
      </c>
    </row>
    <row r="4" customFormat="false" ht="12.75" hidden="false" customHeight="false" outlineLevel="0" collapsed="false">
      <c r="A4" s="1" t="s">
        <v>548</v>
      </c>
      <c r="B4" s="1" t="n">
        <v>0</v>
      </c>
      <c r="D4" s="1" t="n">
        <v>0.677419355</v>
      </c>
      <c r="E4" s="1" t="n">
        <v>8</v>
      </c>
      <c r="F4" s="1" t="n">
        <v>1</v>
      </c>
      <c r="G4" s="1" t="n">
        <v>0</v>
      </c>
      <c r="H4" s="1" t="n">
        <v>0</v>
      </c>
      <c r="I4" s="1" t="n">
        <v>3</v>
      </c>
      <c r="J4" s="1" t="n">
        <v>68.9</v>
      </c>
      <c r="K4" s="1" t="n">
        <v>64.6</v>
      </c>
      <c r="L4" s="1" t="n">
        <v>0</v>
      </c>
      <c r="M4" s="1" t="n">
        <v>14.16</v>
      </c>
      <c r="N4" s="1" t="n">
        <v>0.323836657</v>
      </c>
      <c r="O4" s="1" t="n">
        <v>0.309143687</v>
      </c>
      <c r="P4" s="1" t="n">
        <v>0.711</v>
      </c>
      <c r="Q4" s="1" t="n">
        <v>20</v>
      </c>
      <c r="R4" s="1" t="n">
        <v>6.2</v>
      </c>
      <c r="S4" s="1" t="n">
        <v>0.5714</v>
      </c>
    </row>
    <row r="5" customFormat="false" ht="12.75" hidden="false" customHeight="false" outlineLevel="0" collapsed="false">
      <c r="A5" s="1" t="s">
        <v>26</v>
      </c>
      <c r="B5" s="1" t="n">
        <v>1</v>
      </c>
      <c r="D5" s="1" t="n">
        <v>0.612903226</v>
      </c>
      <c r="E5" s="1" t="n">
        <v>6</v>
      </c>
      <c r="F5" s="1" t="n">
        <v>0</v>
      </c>
      <c r="G5" s="1" t="n">
        <v>0</v>
      </c>
      <c r="H5" s="1" t="n">
        <v>3</v>
      </c>
      <c r="I5" s="1" t="n">
        <v>8</v>
      </c>
      <c r="J5" s="1" t="n">
        <v>72.9</v>
      </c>
      <c r="K5" s="1" t="n">
        <v>68.7</v>
      </c>
      <c r="L5" s="1" t="n">
        <v>3</v>
      </c>
      <c r="M5" s="1" t="n">
        <v>13.48</v>
      </c>
      <c r="N5" s="1" t="n">
        <v>0.394392523</v>
      </c>
      <c r="O5" s="1" t="n">
        <v>0.176954733</v>
      </c>
      <c r="P5" s="1" t="n">
        <v>0.709</v>
      </c>
      <c r="Q5" s="1" t="n">
        <v>17</v>
      </c>
      <c r="R5" s="1" t="n">
        <v>7.1</v>
      </c>
      <c r="S5" s="1" t="n">
        <v>0.5833</v>
      </c>
    </row>
    <row r="6" customFormat="false" ht="12.75" hidden="false" customHeight="false" outlineLevel="0" collapsed="false">
      <c r="A6" s="1" t="s">
        <v>67</v>
      </c>
      <c r="B6" s="1" t="n">
        <v>0</v>
      </c>
      <c r="D6" s="1" t="n">
        <v>0.709677419</v>
      </c>
      <c r="E6" s="1" t="n">
        <v>7</v>
      </c>
      <c r="F6" s="1" t="n">
        <v>0</v>
      </c>
      <c r="G6" s="1" t="n">
        <v>1</v>
      </c>
      <c r="H6" s="1" t="n">
        <v>4</v>
      </c>
      <c r="I6" s="1" t="n">
        <v>6</v>
      </c>
      <c r="J6" s="1" t="n">
        <v>74.3</v>
      </c>
      <c r="K6" s="1" t="n">
        <v>64.9</v>
      </c>
      <c r="L6" s="1" t="n">
        <v>0</v>
      </c>
      <c r="M6" s="1" t="n">
        <v>13.39</v>
      </c>
      <c r="N6" s="1" t="n">
        <v>0.348066298</v>
      </c>
      <c r="O6" s="1" t="n">
        <v>0.230148048</v>
      </c>
      <c r="P6" s="1" t="n">
        <v>0.692</v>
      </c>
      <c r="Q6" s="1" t="n">
        <v>17</v>
      </c>
      <c r="R6" s="1" t="n">
        <v>12.8</v>
      </c>
      <c r="S6" s="1" t="n">
        <v>0.4286</v>
      </c>
    </row>
    <row r="7" customFormat="false" ht="12.75" hidden="false" customHeight="false" outlineLevel="0" collapsed="false">
      <c r="A7" s="1" t="s">
        <v>240</v>
      </c>
      <c r="B7" s="1" t="n">
        <v>0</v>
      </c>
      <c r="D7" s="1" t="n">
        <v>0.666666667</v>
      </c>
      <c r="E7" s="1" t="n">
        <v>9</v>
      </c>
      <c r="F7" s="1" t="n">
        <v>1</v>
      </c>
      <c r="G7" s="1" t="n">
        <v>0</v>
      </c>
      <c r="H7" s="1" t="n">
        <v>0</v>
      </c>
      <c r="I7" s="1" t="n">
        <v>2</v>
      </c>
      <c r="J7" s="1" t="n">
        <v>81.8</v>
      </c>
      <c r="K7" s="1" t="n">
        <v>76.9</v>
      </c>
      <c r="L7" s="1" t="n">
        <v>0</v>
      </c>
      <c r="M7" s="1" t="n">
        <v>16.3</v>
      </c>
      <c r="N7" s="1" t="n">
        <v>0.331156716</v>
      </c>
      <c r="O7" s="1" t="n">
        <v>0.315403423</v>
      </c>
      <c r="P7" s="1" t="n">
        <v>0.691</v>
      </c>
      <c r="Q7" s="1" t="n">
        <v>17</v>
      </c>
      <c r="R7" s="1" t="n">
        <v>6.3</v>
      </c>
      <c r="S7" s="1" t="n">
        <v>0.5</v>
      </c>
    </row>
    <row r="8" customFormat="false" ht="12.75" hidden="false" customHeight="false" outlineLevel="0" collapsed="false">
      <c r="A8" s="1" t="s">
        <v>504</v>
      </c>
      <c r="B8" s="1" t="n">
        <v>2</v>
      </c>
      <c r="D8" s="1" t="n">
        <v>0.78125</v>
      </c>
      <c r="E8" s="1" t="n">
        <v>8</v>
      </c>
      <c r="F8" s="1" t="n">
        <v>0</v>
      </c>
      <c r="G8" s="1" t="n">
        <v>1</v>
      </c>
      <c r="H8" s="1" t="n">
        <v>3</v>
      </c>
      <c r="I8" s="1" t="n">
        <v>4</v>
      </c>
      <c r="J8" s="1" t="n">
        <v>74.4</v>
      </c>
      <c r="K8" s="1" t="n">
        <v>67.4</v>
      </c>
      <c r="L8" s="1" t="n">
        <v>2</v>
      </c>
      <c r="M8" s="1" t="n">
        <v>13.18</v>
      </c>
      <c r="N8" s="1" t="n">
        <v>0.371993127</v>
      </c>
      <c r="O8" s="1" t="n">
        <v>0.233870968</v>
      </c>
      <c r="P8" s="1" t="n">
        <v>0.675</v>
      </c>
      <c r="Q8" s="1" t="n">
        <v>17</v>
      </c>
      <c r="R8" s="1" t="n">
        <v>12.2</v>
      </c>
      <c r="S8" s="1" t="n">
        <v>0.6154</v>
      </c>
    </row>
    <row r="9" customFormat="false" ht="12.75" hidden="false" customHeight="false" outlineLevel="0" collapsed="false">
      <c r="A9" s="1" t="s">
        <v>549</v>
      </c>
      <c r="B9" s="1" t="n">
        <v>2</v>
      </c>
      <c r="D9" s="1" t="n">
        <v>0.666666667</v>
      </c>
      <c r="E9" s="1" t="n">
        <v>7</v>
      </c>
      <c r="F9" s="1" t="n">
        <v>0</v>
      </c>
      <c r="G9" s="1" t="n">
        <v>0</v>
      </c>
      <c r="H9" s="1" t="n">
        <v>4</v>
      </c>
      <c r="I9" s="1" t="n">
        <v>4</v>
      </c>
      <c r="J9" s="1" t="n">
        <v>71.5</v>
      </c>
      <c r="K9" s="1" t="n">
        <v>65.1</v>
      </c>
      <c r="L9" s="1" t="n">
        <v>0</v>
      </c>
      <c r="M9" s="1" t="n">
        <v>15.2</v>
      </c>
      <c r="N9" s="1" t="n">
        <v>0.334217507</v>
      </c>
      <c r="O9" s="1" t="n">
        <v>0.234965035</v>
      </c>
      <c r="P9" s="1" t="n">
        <v>0.718</v>
      </c>
      <c r="Q9" s="1" t="n">
        <v>12</v>
      </c>
      <c r="R9" s="1" t="n">
        <v>9.1</v>
      </c>
      <c r="S9" s="1" t="n">
        <v>0.5</v>
      </c>
    </row>
    <row r="10" customFormat="false" ht="12.75" hidden="false" customHeight="false" outlineLevel="0" collapsed="false">
      <c r="A10" s="1" t="s">
        <v>83</v>
      </c>
      <c r="B10" s="1" t="n">
        <v>1</v>
      </c>
      <c r="D10" s="1" t="n">
        <v>0.862068966</v>
      </c>
      <c r="E10" s="1" t="n">
        <v>9</v>
      </c>
      <c r="F10" s="1" t="n">
        <v>1</v>
      </c>
      <c r="G10" s="1" t="n">
        <v>0</v>
      </c>
      <c r="H10" s="1" t="n">
        <v>1</v>
      </c>
      <c r="I10" s="1" t="n">
        <v>3</v>
      </c>
      <c r="J10" s="1" t="n">
        <v>66.6</v>
      </c>
      <c r="K10" s="1" t="n">
        <v>56.2</v>
      </c>
      <c r="L10" s="1" t="n">
        <v>1</v>
      </c>
      <c r="M10" s="1" t="n">
        <v>14.7</v>
      </c>
      <c r="N10" s="1" t="n">
        <v>0.297938144</v>
      </c>
      <c r="O10" s="1" t="n">
        <v>0.274774775</v>
      </c>
      <c r="P10" s="1" t="n">
        <v>0.696</v>
      </c>
      <c r="Q10" s="1" t="n">
        <v>19</v>
      </c>
      <c r="R10" s="1" t="n">
        <v>16.1</v>
      </c>
      <c r="S10" s="1" t="n">
        <v>0.875</v>
      </c>
    </row>
    <row r="11" customFormat="false" ht="12.75" hidden="false" customHeight="false" outlineLevel="0" collapsed="false">
      <c r="A11" s="1" t="s">
        <v>179</v>
      </c>
      <c r="B11" s="1" t="n">
        <v>0</v>
      </c>
      <c r="D11" s="1" t="n">
        <v>0.666666667</v>
      </c>
      <c r="E11" s="1" t="n">
        <v>6</v>
      </c>
      <c r="F11" s="1" t="n">
        <v>0</v>
      </c>
      <c r="G11" s="1" t="n">
        <v>0</v>
      </c>
      <c r="H11" s="1" t="n">
        <v>4</v>
      </c>
      <c r="I11" s="1" t="n">
        <v>5</v>
      </c>
      <c r="J11" s="1" t="n">
        <v>69.2</v>
      </c>
      <c r="K11" s="1" t="n">
        <v>64.7</v>
      </c>
      <c r="L11" s="1" t="n">
        <v>1</v>
      </c>
      <c r="M11" s="1" t="n">
        <v>12.37</v>
      </c>
      <c r="N11" s="1" t="n">
        <v>0.299180328</v>
      </c>
      <c r="O11" s="1" t="n">
        <v>0.238439306</v>
      </c>
      <c r="P11" s="1" t="n">
        <v>0.733</v>
      </c>
      <c r="Q11" s="1" t="n">
        <v>14</v>
      </c>
      <c r="R11" s="1" t="n">
        <v>6.3</v>
      </c>
      <c r="S11" s="1" t="n">
        <v>0.6364</v>
      </c>
    </row>
    <row r="12" customFormat="false" ht="12.75" hidden="false" customHeight="false" outlineLevel="0" collapsed="false">
      <c r="A12" s="1" t="s">
        <v>182</v>
      </c>
      <c r="B12" s="1" t="n">
        <v>3</v>
      </c>
      <c r="D12" s="1" t="n">
        <v>0.9</v>
      </c>
      <c r="E12" s="1" t="n">
        <v>8</v>
      </c>
      <c r="F12" s="1" t="n">
        <v>0</v>
      </c>
      <c r="G12" s="1" t="n">
        <v>1</v>
      </c>
      <c r="H12" s="1" t="n">
        <v>12</v>
      </c>
      <c r="I12" s="1" t="n">
        <v>3</v>
      </c>
      <c r="J12" s="1" t="n">
        <v>81.3</v>
      </c>
      <c r="K12" s="1" t="n">
        <v>67.1</v>
      </c>
      <c r="L12" s="1" t="n">
        <v>3</v>
      </c>
      <c r="M12" s="1" t="n">
        <v>14.2</v>
      </c>
      <c r="N12" s="1" t="n">
        <v>0.362490734</v>
      </c>
      <c r="O12" s="1" t="n">
        <v>0.195571956</v>
      </c>
      <c r="P12" s="1" t="n">
        <v>0.706</v>
      </c>
      <c r="Q12" s="1" t="n">
        <v>20</v>
      </c>
      <c r="R12" s="1" t="n">
        <v>20.3</v>
      </c>
      <c r="S12" s="1" t="n">
        <v>0.6667</v>
      </c>
    </row>
    <row r="13" customFormat="false" ht="12.75" hidden="false" customHeight="false" outlineLevel="0" collapsed="false">
      <c r="A13" s="1" t="s">
        <v>25</v>
      </c>
      <c r="B13" s="1" t="n">
        <v>0</v>
      </c>
      <c r="D13" s="1" t="n">
        <v>0.62962963</v>
      </c>
      <c r="E13" s="1" t="n">
        <v>7</v>
      </c>
      <c r="F13" s="1" t="n">
        <v>1</v>
      </c>
      <c r="G13" s="1" t="n">
        <v>0</v>
      </c>
      <c r="H13" s="1" t="n">
        <v>0</v>
      </c>
      <c r="I13" s="1" t="n">
        <v>3</v>
      </c>
      <c r="J13" s="1" t="n">
        <v>78</v>
      </c>
      <c r="K13" s="1" t="n">
        <v>70.2</v>
      </c>
      <c r="L13" s="1" t="n">
        <v>0</v>
      </c>
      <c r="M13" s="1" t="n">
        <v>13</v>
      </c>
      <c r="N13" s="1" t="n">
        <v>0.323654996</v>
      </c>
      <c r="O13" s="1" t="n">
        <v>0.35</v>
      </c>
      <c r="P13" s="1" t="n">
        <v>0.761</v>
      </c>
      <c r="Q13" s="1" t="n">
        <v>22</v>
      </c>
      <c r="R13" s="1" t="n">
        <v>12.4</v>
      </c>
      <c r="S13" s="1" t="n">
        <v>0.5</v>
      </c>
    </row>
    <row r="14" customFormat="false" ht="12.75" hidden="false" customHeight="false" outlineLevel="0" collapsed="false">
      <c r="A14" s="1" t="s">
        <v>86</v>
      </c>
      <c r="B14" s="1" t="n">
        <v>2</v>
      </c>
      <c r="D14" s="1" t="n">
        <v>0.909090909</v>
      </c>
      <c r="E14" s="1" t="n">
        <v>8</v>
      </c>
      <c r="F14" s="1" t="n">
        <v>1</v>
      </c>
      <c r="G14" s="1" t="n">
        <v>1</v>
      </c>
      <c r="H14" s="1" t="n">
        <v>11</v>
      </c>
      <c r="I14" s="1" t="n">
        <v>2</v>
      </c>
      <c r="J14" s="1" t="n">
        <v>82.5</v>
      </c>
      <c r="K14" s="1" t="n">
        <v>68.1</v>
      </c>
      <c r="L14" s="1" t="n">
        <v>3</v>
      </c>
      <c r="M14" s="1" t="n">
        <v>13.39</v>
      </c>
      <c r="N14" s="1" t="n">
        <v>0.290055249</v>
      </c>
      <c r="O14" s="1" t="n">
        <v>0.283636364</v>
      </c>
      <c r="P14" s="1" t="n">
        <v>0.761</v>
      </c>
      <c r="Q14" s="1" t="n">
        <v>16</v>
      </c>
      <c r="R14" s="1" t="n">
        <v>18.1</v>
      </c>
      <c r="S14" s="1" t="n">
        <v>0.7778</v>
      </c>
    </row>
    <row r="15" customFormat="false" ht="12.75" hidden="false" customHeight="false" outlineLevel="0" collapsed="false">
      <c r="A15" s="1" t="s">
        <v>62</v>
      </c>
      <c r="B15" s="1" t="n">
        <v>6</v>
      </c>
      <c r="D15" s="1" t="n">
        <v>0.818181818</v>
      </c>
      <c r="E15" s="1" t="n">
        <v>7</v>
      </c>
      <c r="F15" s="1" t="n">
        <v>1</v>
      </c>
      <c r="G15" s="1" t="n">
        <v>1</v>
      </c>
      <c r="H15" s="1" t="n">
        <v>7</v>
      </c>
      <c r="I15" s="1" t="n">
        <v>4</v>
      </c>
      <c r="J15" s="1" t="n">
        <v>79.3</v>
      </c>
      <c r="K15" s="1" t="n">
        <v>63.5</v>
      </c>
      <c r="L15" s="1" t="n">
        <v>3</v>
      </c>
      <c r="M15" s="1" t="n">
        <v>14.88</v>
      </c>
      <c r="N15" s="1" t="n">
        <v>0.30094583</v>
      </c>
      <c r="O15" s="1" t="n">
        <v>0.279949559</v>
      </c>
      <c r="P15" s="1" t="n">
        <v>0.744</v>
      </c>
      <c r="Q15" s="1" t="n">
        <v>19</v>
      </c>
      <c r="R15" s="1" t="n">
        <v>21.4</v>
      </c>
      <c r="S15" s="1" t="n">
        <v>0.5455</v>
      </c>
    </row>
    <row r="16" customFormat="false" ht="12.75" hidden="false" customHeight="false" outlineLevel="0" collapsed="false">
      <c r="A16" s="1" t="s">
        <v>457</v>
      </c>
      <c r="B16" s="1" t="n">
        <v>4</v>
      </c>
      <c r="D16" s="1" t="n">
        <v>0.766666667</v>
      </c>
      <c r="E16" s="1" t="n">
        <v>8</v>
      </c>
      <c r="F16" s="1" t="n">
        <v>0</v>
      </c>
      <c r="G16" s="1" t="n">
        <v>0</v>
      </c>
      <c r="H16" s="1" t="n">
        <v>3</v>
      </c>
      <c r="I16" s="1" t="n">
        <v>1</v>
      </c>
      <c r="J16" s="1" t="n">
        <v>69.4</v>
      </c>
      <c r="K16" s="1" t="n">
        <v>60.1</v>
      </c>
      <c r="L16" s="1" t="n">
        <v>0</v>
      </c>
      <c r="M16" s="1" t="n">
        <v>13.2</v>
      </c>
      <c r="N16" s="1" t="n">
        <v>0.289398281</v>
      </c>
      <c r="O16" s="1" t="n">
        <v>0.255043228</v>
      </c>
      <c r="P16" s="1" t="n">
        <v>0.664</v>
      </c>
      <c r="Q16" s="1" t="n">
        <v>18</v>
      </c>
      <c r="R16" s="1" t="n">
        <v>14.4</v>
      </c>
      <c r="S16" s="1" t="n">
        <v>0.6667</v>
      </c>
    </row>
    <row r="17" customFormat="false" ht="12.75" hidden="false" customHeight="false" outlineLevel="0" collapsed="false">
      <c r="A17" s="1" t="s">
        <v>321</v>
      </c>
      <c r="B17" s="1" t="n">
        <v>1</v>
      </c>
      <c r="D17" s="1" t="n">
        <v>0.928571429</v>
      </c>
      <c r="E17" s="1" t="n">
        <v>9</v>
      </c>
      <c r="F17" s="1" t="n">
        <v>0</v>
      </c>
      <c r="G17" s="1" t="n">
        <v>0</v>
      </c>
      <c r="H17" s="1" t="n">
        <v>1</v>
      </c>
      <c r="I17" s="1" t="n">
        <v>1</v>
      </c>
      <c r="J17" s="1" t="n">
        <v>79</v>
      </c>
      <c r="K17" s="1" t="n">
        <v>68.4</v>
      </c>
      <c r="L17" s="1" t="n">
        <v>1</v>
      </c>
      <c r="M17" s="1" t="n">
        <v>14.14</v>
      </c>
      <c r="N17" s="1" t="n">
        <v>0.36202058</v>
      </c>
      <c r="O17" s="1" t="n">
        <v>0.227848101</v>
      </c>
      <c r="P17" s="1" t="n">
        <v>0.646</v>
      </c>
      <c r="Q17" s="1" t="n">
        <v>20</v>
      </c>
      <c r="R17" s="1" t="n">
        <v>15.4</v>
      </c>
      <c r="S17" s="1" t="n">
        <v>1</v>
      </c>
    </row>
    <row r="18" customFormat="false" ht="12.75" hidden="false" customHeight="false" outlineLevel="0" collapsed="false">
      <c r="A18" s="1" t="s">
        <v>246</v>
      </c>
      <c r="B18" s="1" t="n">
        <v>2</v>
      </c>
      <c r="D18" s="1" t="n">
        <v>0.7</v>
      </c>
      <c r="E18" s="1" t="n">
        <v>5</v>
      </c>
      <c r="F18" s="1" t="n">
        <v>0</v>
      </c>
      <c r="G18" s="1" t="n">
        <v>1</v>
      </c>
      <c r="H18" s="1" t="n">
        <v>4</v>
      </c>
      <c r="I18" s="1" t="n">
        <v>7</v>
      </c>
      <c r="J18" s="1" t="n">
        <v>66.7</v>
      </c>
      <c r="K18" s="1" t="n">
        <v>58.9</v>
      </c>
      <c r="L18" s="1" t="n">
        <v>0</v>
      </c>
      <c r="M18" s="1" t="n">
        <v>11.73</v>
      </c>
      <c r="N18" s="1" t="n">
        <v>0.328220859</v>
      </c>
      <c r="O18" s="1" t="n">
        <v>0.310344828</v>
      </c>
      <c r="P18" s="1" t="n">
        <v>0.706</v>
      </c>
      <c r="Q18" s="1" t="n">
        <v>18</v>
      </c>
      <c r="R18" s="1" t="n">
        <v>11.8</v>
      </c>
      <c r="S18" s="1" t="n">
        <v>0.8</v>
      </c>
    </row>
    <row r="19" customFormat="false" ht="12.75" hidden="false" customHeight="false" outlineLevel="0" collapsed="false">
      <c r="A19" s="1" t="s">
        <v>43</v>
      </c>
      <c r="B19" s="1" t="n">
        <v>2</v>
      </c>
      <c r="D19" s="1" t="n">
        <v>0.9</v>
      </c>
      <c r="E19" s="1" t="n">
        <v>10</v>
      </c>
      <c r="F19" s="1" t="n">
        <v>1</v>
      </c>
      <c r="G19" s="1" t="n">
        <v>0</v>
      </c>
      <c r="H19" s="1" t="n">
        <v>1</v>
      </c>
      <c r="I19" s="1" t="n">
        <v>3</v>
      </c>
      <c r="J19" s="1" t="n">
        <v>80.1</v>
      </c>
      <c r="K19" s="1" t="n">
        <v>72.8</v>
      </c>
      <c r="L19" s="1" t="n">
        <v>3</v>
      </c>
      <c r="M19" s="1" t="n">
        <v>13.33</v>
      </c>
      <c r="N19" s="1" t="n">
        <v>0.335106383</v>
      </c>
      <c r="O19" s="1" t="n">
        <v>0.213483146</v>
      </c>
      <c r="P19" s="1" t="n">
        <v>0.782</v>
      </c>
      <c r="Q19" s="1" t="n">
        <v>15</v>
      </c>
      <c r="R19" s="1" t="n">
        <v>10.5</v>
      </c>
      <c r="S19" s="1" t="n">
        <v>0.7692</v>
      </c>
    </row>
    <row r="20" customFormat="false" ht="12.75" hidden="false" customHeight="false" outlineLevel="0" collapsed="false">
      <c r="A20" s="1" t="s">
        <v>187</v>
      </c>
      <c r="B20" s="25" t="n">
        <v>0</v>
      </c>
      <c r="D20" s="1" t="n">
        <v>0.516129032</v>
      </c>
      <c r="E20" s="1" t="n">
        <v>5</v>
      </c>
      <c r="F20" s="1" t="n">
        <v>1</v>
      </c>
      <c r="G20" s="1" t="n">
        <v>0</v>
      </c>
      <c r="H20" s="1" t="n">
        <v>0</v>
      </c>
      <c r="I20" s="1" t="n">
        <v>1</v>
      </c>
      <c r="J20" s="1" t="n">
        <v>66.8</v>
      </c>
      <c r="K20" s="1" t="n">
        <v>63.9</v>
      </c>
      <c r="L20" s="1" t="n">
        <v>0</v>
      </c>
      <c r="M20" s="1" t="n">
        <v>16.23</v>
      </c>
      <c r="N20" s="1" t="n">
        <v>0.351151316</v>
      </c>
      <c r="O20" s="1" t="n">
        <v>0.251497006</v>
      </c>
      <c r="P20" s="1" t="n">
        <v>0.619</v>
      </c>
      <c r="Q20" s="1" t="n">
        <v>15</v>
      </c>
      <c r="R20" s="1" t="n">
        <v>3.3</v>
      </c>
      <c r="S20" s="1" t="n">
        <v>0.4545</v>
      </c>
    </row>
    <row r="21" customFormat="false" ht="12.75" hidden="false" customHeight="false" outlineLevel="0" collapsed="false">
      <c r="A21" s="1" t="s">
        <v>363</v>
      </c>
      <c r="B21" s="1" t="n">
        <v>1</v>
      </c>
      <c r="D21" s="1" t="n">
        <v>0.806451613</v>
      </c>
      <c r="E21" s="1" t="n">
        <v>6</v>
      </c>
      <c r="F21" s="1" t="n">
        <v>0</v>
      </c>
      <c r="G21" s="1" t="n">
        <v>1</v>
      </c>
      <c r="H21" s="1" t="n">
        <v>9</v>
      </c>
      <c r="I21" s="1" t="n">
        <v>4</v>
      </c>
      <c r="J21" s="1" t="n">
        <v>70</v>
      </c>
      <c r="K21" s="1" t="n">
        <v>58.5</v>
      </c>
      <c r="L21" s="1" t="n">
        <v>3</v>
      </c>
      <c r="M21" s="1" t="n">
        <v>12.35</v>
      </c>
      <c r="N21" s="1" t="n">
        <v>0.345878136</v>
      </c>
      <c r="O21" s="1" t="n">
        <v>0.317142857</v>
      </c>
      <c r="P21" s="1" t="n">
        <v>0.643</v>
      </c>
      <c r="Q21" s="1" t="n">
        <v>16</v>
      </c>
      <c r="R21" s="1" t="n">
        <v>17.7</v>
      </c>
      <c r="S21" s="1" t="n">
        <v>0.5556</v>
      </c>
    </row>
    <row r="22" customFormat="false" ht="12.75" hidden="false" customHeight="false" outlineLevel="0" collapsed="false">
      <c r="A22" s="1" t="s">
        <v>190</v>
      </c>
      <c r="B22" s="1" t="n">
        <v>1</v>
      </c>
      <c r="D22" s="1" t="n">
        <v>0.620689655</v>
      </c>
      <c r="E22" s="1" t="n">
        <v>5</v>
      </c>
      <c r="F22" s="1" t="n">
        <v>0</v>
      </c>
      <c r="G22" s="1" t="n">
        <v>1</v>
      </c>
      <c r="H22" s="1" t="n">
        <v>5</v>
      </c>
      <c r="I22" s="1" t="n">
        <v>8</v>
      </c>
      <c r="J22" s="1" t="n">
        <v>71.2</v>
      </c>
      <c r="K22" s="1" t="n">
        <v>67.2</v>
      </c>
      <c r="L22" s="1" t="n">
        <v>1</v>
      </c>
      <c r="M22" s="1" t="n">
        <v>14.62</v>
      </c>
      <c r="N22" s="1" t="n">
        <v>0.294715447</v>
      </c>
      <c r="O22" s="1" t="n">
        <v>0.366573034</v>
      </c>
      <c r="P22" s="1" t="n">
        <v>0.69</v>
      </c>
      <c r="Q22" s="1" t="n">
        <v>18</v>
      </c>
      <c r="R22" s="1" t="n">
        <v>7</v>
      </c>
      <c r="S22" s="1" t="n">
        <v>0.6364</v>
      </c>
    </row>
    <row r="23" customFormat="false" ht="12.75" hidden="false" customHeight="false" outlineLevel="0" collapsed="false">
      <c r="A23" s="1" t="s">
        <v>87</v>
      </c>
      <c r="B23" s="1" t="n">
        <v>0</v>
      </c>
      <c r="D23" s="1" t="n">
        <v>0.766666667</v>
      </c>
      <c r="E23" s="1" t="n">
        <v>7</v>
      </c>
      <c r="F23" s="1" t="n">
        <v>1</v>
      </c>
      <c r="G23" s="1" t="n">
        <v>0</v>
      </c>
      <c r="H23" s="1" t="n">
        <v>0</v>
      </c>
      <c r="I23" s="1" t="n">
        <v>2</v>
      </c>
      <c r="J23" s="1" t="n">
        <v>80.4</v>
      </c>
      <c r="K23" s="1" t="n">
        <v>72.2</v>
      </c>
      <c r="L23" s="1" t="n">
        <v>0</v>
      </c>
      <c r="M23" s="1" t="n">
        <v>15.1</v>
      </c>
      <c r="N23" s="1" t="n">
        <v>0.360036004</v>
      </c>
      <c r="O23" s="1" t="n">
        <v>0.23880597</v>
      </c>
      <c r="P23" s="1" t="n">
        <v>0.691</v>
      </c>
      <c r="Q23" s="1" t="n">
        <v>20</v>
      </c>
      <c r="R23" s="1" t="n">
        <v>10.5</v>
      </c>
      <c r="S23" s="1" t="n">
        <v>0.625</v>
      </c>
    </row>
    <row r="24" customFormat="false" ht="12.75" hidden="false" customHeight="false" outlineLevel="0" collapsed="false">
      <c r="A24" s="1" t="s">
        <v>191</v>
      </c>
      <c r="B24" s="1" t="n">
        <v>0</v>
      </c>
      <c r="D24" s="1" t="n">
        <v>0.757575758</v>
      </c>
      <c r="E24" s="1" t="n">
        <v>7</v>
      </c>
      <c r="F24" s="1" t="n">
        <v>1</v>
      </c>
      <c r="G24" s="1" t="n">
        <v>1</v>
      </c>
      <c r="H24" s="1" t="n">
        <v>10</v>
      </c>
      <c r="I24" s="1" t="n">
        <v>5</v>
      </c>
      <c r="J24" s="1" t="n">
        <v>66.4</v>
      </c>
      <c r="K24" s="1" t="n">
        <v>58.9</v>
      </c>
      <c r="L24" s="1" t="n">
        <v>1</v>
      </c>
      <c r="M24" s="1" t="n">
        <v>14.76</v>
      </c>
      <c r="N24" s="1" t="n">
        <v>0.290632506</v>
      </c>
      <c r="O24" s="1" t="n">
        <v>0.253012048</v>
      </c>
      <c r="P24" s="1" t="n">
        <v>0.71</v>
      </c>
      <c r="Q24" s="1" t="n">
        <v>11</v>
      </c>
      <c r="R24" s="1" t="n">
        <v>11</v>
      </c>
      <c r="S24" s="1" t="n">
        <v>0.75</v>
      </c>
    </row>
    <row r="25" customFormat="false" ht="12.75" hidden="false" customHeight="false" outlineLevel="0" collapsed="false">
      <c r="A25" s="1" t="s">
        <v>71</v>
      </c>
      <c r="B25" s="1" t="n">
        <v>0</v>
      </c>
      <c r="D25" s="1" t="n">
        <v>0.774193548</v>
      </c>
      <c r="E25" s="1" t="n">
        <v>9</v>
      </c>
      <c r="F25" s="1" t="n">
        <v>1</v>
      </c>
      <c r="G25" s="1" t="n">
        <v>0</v>
      </c>
      <c r="H25" s="1" t="n">
        <v>5</v>
      </c>
      <c r="I25" s="1" t="n">
        <v>4</v>
      </c>
      <c r="J25" s="1" t="n">
        <v>75.2</v>
      </c>
      <c r="K25" s="1" t="n">
        <v>61.5</v>
      </c>
      <c r="L25" s="1" t="n">
        <v>3</v>
      </c>
      <c r="M25" s="1" t="n">
        <v>15.56</v>
      </c>
      <c r="N25" s="1" t="n">
        <v>0.332545311</v>
      </c>
      <c r="O25" s="1" t="n">
        <v>0.247340426</v>
      </c>
      <c r="P25" s="1" t="n">
        <v>0.672</v>
      </c>
      <c r="Q25" s="1" t="n">
        <v>11</v>
      </c>
      <c r="R25" s="1" t="n">
        <v>19.6</v>
      </c>
      <c r="S25" s="1" t="n">
        <v>0.3333</v>
      </c>
    </row>
    <row r="26" customFormat="false" ht="12.75" hidden="false" customHeight="false" outlineLevel="0" collapsed="false">
      <c r="A26" s="1" t="s">
        <v>550</v>
      </c>
      <c r="B26" s="1" t="n">
        <v>0</v>
      </c>
      <c r="D26" s="1" t="n">
        <v>0.75</v>
      </c>
      <c r="E26" s="1" t="n">
        <v>9</v>
      </c>
      <c r="F26" s="1" t="n">
        <v>1</v>
      </c>
      <c r="G26" s="1" t="n">
        <v>0</v>
      </c>
      <c r="H26" s="1" t="n">
        <v>0</v>
      </c>
      <c r="I26" s="1" t="n">
        <v>2</v>
      </c>
      <c r="J26" s="1" t="n">
        <v>72.5</v>
      </c>
      <c r="K26" s="1" t="n">
        <v>65.5</v>
      </c>
      <c r="L26" s="1" t="n">
        <v>0</v>
      </c>
      <c r="M26" s="1" t="n">
        <v>13.36</v>
      </c>
      <c r="N26" s="1" t="n">
        <v>0.329700272</v>
      </c>
      <c r="O26" s="1" t="n">
        <v>0.285517241</v>
      </c>
      <c r="P26" s="1" t="n">
        <v>0.715</v>
      </c>
      <c r="Q26" s="1" t="n">
        <v>16</v>
      </c>
      <c r="R26" s="1" t="n">
        <v>9.5</v>
      </c>
      <c r="S26" s="1" t="n">
        <v>0.4286</v>
      </c>
    </row>
    <row r="27" customFormat="false" ht="12.75" hidden="false" customHeight="false" outlineLevel="0" collapsed="false">
      <c r="A27" s="1" t="s">
        <v>24</v>
      </c>
      <c r="B27" s="1" t="n">
        <v>1</v>
      </c>
      <c r="D27" s="1" t="n">
        <v>0.636363636</v>
      </c>
      <c r="E27" s="1" t="n">
        <v>6</v>
      </c>
      <c r="F27" s="1" t="n">
        <v>0</v>
      </c>
      <c r="G27" s="1" t="n">
        <v>1</v>
      </c>
      <c r="H27" s="1" t="n">
        <v>5</v>
      </c>
      <c r="I27" s="1" t="n">
        <v>9</v>
      </c>
      <c r="J27" s="1" t="n">
        <v>70.5</v>
      </c>
      <c r="K27" s="1" t="n">
        <v>66.5</v>
      </c>
      <c r="L27" s="1" t="n">
        <v>3</v>
      </c>
      <c r="M27" s="1" t="n">
        <v>13.39</v>
      </c>
      <c r="N27" s="1" t="n">
        <v>0.353040541</v>
      </c>
      <c r="O27" s="1" t="n">
        <v>0.323404255</v>
      </c>
      <c r="P27" s="1" t="n">
        <v>0.676</v>
      </c>
      <c r="Q27" s="1" t="n">
        <v>17</v>
      </c>
      <c r="R27" s="1" t="n">
        <v>7</v>
      </c>
      <c r="S27" s="1" t="n">
        <v>0.4286</v>
      </c>
    </row>
    <row r="28" customFormat="false" ht="12.75" hidden="false" customHeight="false" outlineLevel="0" collapsed="false">
      <c r="A28" s="1" t="s">
        <v>251</v>
      </c>
      <c r="B28" s="1" t="n">
        <v>4</v>
      </c>
      <c r="D28" s="1" t="n">
        <v>0.733333333</v>
      </c>
      <c r="E28" s="1" t="n">
        <v>8</v>
      </c>
      <c r="F28" s="1" t="n">
        <v>0</v>
      </c>
      <c r="G28" s="1" t="n">
        <v>1</v>
      </c>
      <c r="H28" s="1" t="n">
        <v>7</v>
      </c>
      <c r="I28" s="1" t="n">
        <v>6</v>
      </c>
      <c r="J28" s="1" t="n">
        <v>74.8</v>
      </c>
      <c r="K28" s="1" t="n">
        <v>64.7</v>
      </c>
      <c r="L28" s="1" t="n">
        <v>2</v>
      </c>
      <c r="M28" s="1" t="n">
        <v>15.61</v>
      </c>
      <c r="N28" s="1" t="n">
        <v>0.347964884</v>
      </c>
      <c r="O28" s="1" t="n">
        <v>0.176470588</v>
      </c>
      <c r="P28" s="1" t="n">
        <v>0.69</v>
      </c>
      <c r="Q28" s="1" t="n">
        <v>12</v>
      </c>
      <c r="R28" s="1" t="n">
        <v>13.3</v>
      </c>
      <c r="S28" s="1" t="n">
        <v>0.5714</v>
      </c>
    </row>
    <row r="29" customFormat="false" ht="12.75" hidden="false" customHeight="false" outlineLevel="0" collapsed="false">
      <c r="A29" s="1" t="s">
        <v>110</v>
      </c>
      <c r="B29" s="1" t="n">
        <v>0</v>
      </c>
      <c r="D29" s="1" t="n">
        <v>0.655172414</v>
      </c>
      <c r="E29" s="1" t="n">
        <v>5</v>
      </c>
      <c r="F29" s="1" t="n">
        <v>0</v>
      </c>
      <c r="G29" s="1" t="n">
        <v>1</v>
      </c>
      <c r="H29" s="1" t="n">
        <v>5</v>
      </c>
      <c r="I29" s="1" t="n">
        <v>6</v>
      </c>
      <c r="J29" s="1" t="n">
        <v>74.7</v>
      </c>
      <c r="K29" s="1" t="n">
        <v>71</v>
      </c>
      <c r="L29" s="1" t="n">
        <v>1</v>
      </c>
      <c r="M29" s="1" t="n">
        <v>14.87</v>
      </c>
      <c r="N29" s="1" t="n">
        <v>0.335793358</v>
      </c>
      <c r="O29" s="1" t="n">
        <v>0.341365462</v>
      </c>
      <c r="P29" s="1" t="n">
        <v>0.732</v>
      </c>
      <c r="Q29" s="1" t="n">
        <v>13</v>
      </c>
      <c r="R29" s="1" t="n">
        <v>8.1</v>
      </c>
      <c r="S29" s="1" t="n">
        <v>0.6364</v>
      </c>
    </row>
    <row r="30" customFormat="false" ht="12.75" hidden="false" customHeight="false" outlineLevel="0" collapsed="false">
      <c r="A30" s="1" t="s">
        <v>325</v>
      </c>
      <c r="B30" s="1" t="n">
        <v>3</v>
      </c>
      <c r="D30" s="1" t="n">
        <v>0.909090909</v>
      </c>
      <c r="E30" s="1" t="n">
        <v>9</v>
      </c>
      <c r="F30" s="1" t="n">
        <v>1</v>
      </c>
      <c r="G30" s="1" t="n">
        <v>0</v>
      </c>
      <c r="H30" s="1" t="n">
        <v>8</v>
      </c>
      <c r="I30" s="1" t="n">
        <v>3</v>
      </c>
      <c r="J30" s="1" t="n">
        <v>80.9</v>
      </c>
      <c r="K30" s="1" t="n">
        <v>63.1</v>
      </c>
      <c r="L30" s="1" t="n">
        <v>2</v>
      </c>
      <c r="M30" s="1" t="n">
        <v>15.82</v>
      </c>
      <c r="N30" s="1" t="n">
        <v>0.376080692</v>
      </c>
      <c r="O30" s="1" t="n">
        <v>0.281829419</v>
      </c>
      <c r="P30" s="1" t="n">
        <v>0.682</v>
      </c>
      <c r="Q30" s="1" t="n">
        <v>11</v>
      </c>
      <c r="R30" s="1" t="n">
        <v>19.8</v>
      </c>
      <c r="S30" s="1" t="n">
        <v>0.5</v>
      </c>
    </row>
    <row r="31" customFormat="false" ht="12.75" hidden="false" customHeight="false" outlineLevel="0" collapsed="false">
      <c r="A31" s="1" t="s">
        <v>194</v>
      </c>
      <c r="B31" s="1" t="n">
        <v>0</v>
      </c>
      <c r="D31" s="1" t="n">
        <v>0.65625</v>
      </c>
      <c r="E31" s="1" t="n">
        <v>4</v>
      </c>
      <c r="F31" s="1" t="n">
        <v>0</v>
      </c>
      <c r="G31" s="1" t="n">
        <v>1</v>
      </c>
      <c r="H31" s="1" t="n">
        <v>8</v>
      </c>
      <c r="I31" s="1" t="n">
        <v>8</v>
      </c>
      <c r="J31" s="1" t="n">
        <v>74.4</v>
      </c>
      <c r="K31" s="1" t="n">
        <v>68.7</v>
      </c>
      <c r="L31" s="1" t="n">
        <v>3</v>
      </c>
      <c r="M31" s="1" t="n">
        <v>14.18</v>
      </c>
      <c r="N31" s="1" t="n">
        <v>0.308922559</v>
      </c>
      <c r="O31" s="1" t="n">
        <v>0.237903226</v>
      </c>
      <c r="P31" s="1" t="n">
        <v>0.769</v>
      </c>
      <c r="Q31" s="1" t="n">
        <v>17</v>
      </c>
      <c r="R31" s="1" t="n">
        <v>8.1</v>
      </c>
      <c r="S31" s="1" t="n">
        <v>0.6667</v>
      </c>
    </row>
    <row r="32" customFormat="false" ht="12.75" hidden="false" customHeight="false" outlineLevel="0" collapsed="false">
      <c r="A32" s="1" t="s">
        <v>551</v>
      </c>
      <c r="B32" s="1" t="n">
        <v>0</v>
      </c>
      <c r="D32" s="1" t="n">
        <v>0.5625</v>
      </c>
      <c r="E32" s="1" t="n">
        <v>7</v>
      </c>
      <c r="F32" s="1" t="n">
        <v>1</v>
      </c>
      <c r="G32" s="1" t="n">
        <v>0</v>
      </c>
      <c r="H32" s="1" t="n">
        <v>1</v>
      </c>
      <c r="I32" s="1" t="n">
        <v>2</v>
      </c>
      <c r="J32" s="1" t="n">
        <v>64.8</v>
      </c>
      <c r="K32" s="1" t="n">
        <v>63.4</v>
      </c>
      <c r="L32" s="1" t="n">
        <v>1</v>
      </c>
      <c r="M32" s="1" t="n">
        <v>15.09</v>
      </c>
      <c r="N32" s="1" t="n">
        <v>0.270813397</v>
      </c>
      <c r="O32" s="1" t="n">
        <v>0.291666667</v>
      </c>
      <c r="P32" s="1" t="n">
        <v>0.67</v>
      </c>
      <c r="Q32" s="1" t="n">
        <v>15</v>
      </c>
      <c r="R32" s="1" t="n">
        <v>1.6</v>
      </c>
      <c r="S32" s="1" t="n">
        <v>0.7143</v>
      </c>
    </row>
    <row r="33" customFormat="false" ht="12.75" hidden="false" customHeight="false" outlineLevel="0" collapsed="false">
      <c r="A33" s="1" t="s">
        <v>48</v>
      </c>
      <c r="B33" s="1" t="n">
        <v>1</v>
      </c>
      <c r="D33" s="1" t="n">
        <v>0.777777778</v>
      </c>
      <c r="E33" s="1" t="n">
        <v>7</v>
      </c>
      <c r="F33" s="1" t="n">
        <v>1</v>
      </c>
      <c r="G33" s="1" t="n">
        <v>0</v>
      </c>
      <c r="H33" s="1" t="n">
        <v>1</v>
      </c>
      <c r="I33" s="1" t="n">
        <v>1</v>
      </c>
      <c r="J33" s="1" t="n">
        <v>79.5</v>
      </c>
      <c r="K33" s="1" t="n">
        <v>72</v>
      </c>
      <c r="L33" s="1" t="n">
        <v>1</v>
      </c>
      <c r="M33" s="1" t="n">
        <v>14.34</v>
      </c>
      <c r="N33" s="1" t="n">
        <v>0.320772947</v>
      </c>
      <c r="O33" s="1" t="n">
        <v>0.279245283</v>
      </c>
      <c r="P33" s="1" t="n">
        <v>0.718</v>
      </c>
      <c r="Q33" s="1" t="n">
        <v>15</v>
      </c>
      <c r="R33" s="1" t="n">
        <v>11.4</v>
      </c>
      <c r="S33" s="1" t="n">
        <v>0.5556</v>
      </c>
    </row>
    <row r="34" customFormat="false" ht="12.75" hidden="false" customHeight="false" outlineLevel="0" collapsed="false">
      <c r="A34" s="1" t="s">
        <v>399</v>
      </c>
      <c r="B34" s="1" t="n">
        <v>0</v>
      </c>
      <c r="D34" s="1" t="n">
        <v>0.793103448</v>
      </c>
      <c r="E34" s="1" t="n">
        <v>9</v>
      </c>
      <c r="F34" s="1" t="n">
        <v>1</v>
      </c>
      <c r="G34" s="1" t="n">
        <v>0</v>
      </c>
      <c r="H34" s="1" t="n">
        <v>0</v>
      </c>
      <c r="I34" s="1" t="n">
        <v>2</v>
      </c>
      <c r="J34" s="1" t="n">
        <v>71.3</v>
      </c>
      <c r="K34" s="1" t="n">
        <v>61.7</v>
      </c>
      <c r="L34" s="1" t="n">
        <v>1</v>
      </c>
      <c r="M34" s="1" t="n">
        <v>12.47</v>
      </c>
      <c r="N34" s="1" t="n">
        <v>0.354693141</v>
      </c>
      <c r="O34" s="1" t="n">
        <v>0.311360449</v>
      </c>
      <c r="P34" s="1" t="n">
        <v>0.651</v>
      </c>
      <c r="Q34" s="1" t="n">
        <v>16</v>
      </c>
      <c r="R34" s="1" t="n">
        <v>14.8</v>
      </c>
      <c r="S34" s="1" t="n">
        <v>0.5455</v>
      </c>
    </row>
    <row r="35" customFormat="false" ht="12.75" hidden="false" customHeight="false" outlineLevel="0" collapsed="false">
      <c r="A35" s="1" t="s">
        <v>74</v>
      </c>
      <c r="B35" s="1" t="n">
        <v>1</v>
      </c>
      <c r="D35" s="1" t="n">
        <v>0.7</v>
      </c>
      <c r="E35" s="1" t="n">
        <v>5</v>
      </c>
      <c r="F35" s="1" t="n">
        <v>0</v>
      </c>
      <c r="G35" s="1" t="n">
        <v>1</v>
      </c>
      <c r="H35" s="1" t="n">
        <v>6</v>
      </c>
      <c r="I35" s="1" t="n">
        <v>4</v>
      </c>
      <c r="J35" s="1" t="n">
        <v>75.7</v>
      </c>
      <c r="K35" s="1" t="n">
        <v>67.4</v>
      </c>
      <c r="L35" s="1" t="n">
        <v>3</v>
      </c>
      <c r="M35" s="1" t="n">
        <v>13.67</v>
      </c>
      <c r="N35" s="1" t="n">
        <v>0.271815446</v>
      </c>
      <c r="O35" s="1" t="n">
        <v>0.368560106</v>
      </c>
      <c r="P35" s="1" t="n">
        <v>0.751</v>
      </c>
      <c r="Q35" s="1" t="n">
        <v>19</v>
      </c>
      <c r="R35" s="1" t="n">
        <v>10.4</v>
      </c>
      <c r="S35" s="1" t="n">
        <v>0.5714</v>
      </c>
    </row>
    <row r="36" customFormat="false" ht="12.75" hidden="false" customHeight="false" outlineLevel="0" collapsed="false">
      <c r="A36" s="1" t="s">
        <v>32</v>
      </c>
      <c r="B36" s="1" t="n">
        <v>0</v>
      </c>
      <c r="D36" s="1" t="n">
        <v>0.838709677</v>
      </c>
      <c r="E36" s="1" t="n">
        <v>10</v>
      </c>
      <c r="F36" s="1" t="n">
        <v>1</v>
      </c>
      <c r="G36" s="1" t="n">
        <v>0</v>
      </c>
      <c r="H36" s="1" t="n">
        <v>4</v>
      </c>
      <c r="I36" s="1" t="n">
        <v>2</v>
      </c>
      <c r="J36" s="1" t="n">
        <v>72.6</v>
      </c>
      <c r="K36" s="1" t="n">
        <v>64.4</v>
      </c>
      <c r="L36" s="1" t="n">
        <v>2</v>
      </c>
      <c r="M36" s="1" t="n">
        <v>13.03</v>
      </c>
      <c r="N36" s="1" t="n">
        <v>0.32711039</v>
      </c>
      <c r="O36" s="1" t="n">
        <v>0.223140496</v>
      </c>
      <c r="P36" s="1" t="n">
        <v>0.718</v>
      </c>
      <c r="Q36" s="1" t="n">
        <v>15</v>
      </c>
      <c r="R36" s="1" t="n">
        <v>13.4</v>
      </c>
      <c r="S36" s="1" t="n">
        <v>0.8</v>
      </c>
    </row>
    <row r="37" customFormat="false" ht="12.75" hidden="false" customHeight="false" outlineLevel="0" collapsed="false">
      <c r="A37" s="1" t="s">
        <v>51</v>
      </c>
      <c r="B37" s="1" t="n">
        <v>1</v>
      </c>
      <c r="D37" s="1" t="n">
        <v>0.75862069</v>
      </c>
      <c r="E37" s="1" t="n">
        <v>8</v>
      </c>
      <c r="F37" s="1" t="n">
        <v>0</v>
      </c>
      <c r="G37" s="1" t="n">
        <v>1</v>
      </c>
      <c r="H37" s="1" t="n">
        <v>6</v>
      </c>
      <c r="I37" s="1" t="n">
        <v>4</v>
      </c>
      <c r="J37" s="1" t="n">
        <v>80.4</v>
      </c>
      <c r="K37" s="1" t="n">
        <v>68.4</v>
      </c>
      <c r="L37" s="1" t="n">
        <v>2</v>
      </c>
      <c r="M37" s="1" t="n">
        <v>16.62</v>
      </c>
      <c r="N37" s="1" t="n">
        <v>0.350862069</v>
      </c>
      <c r="O37" s="1" t="n">
        <v>0.257462687</v>
      </c>
      <c r="P37" s="1" t="n">
        <v>0.708</v>
      </c>
      <c r="Q37" s="1" t="n">
        <v>13</v>
      </c>
      <c r="R37" s="1" t="n">
        <v>14.9</v>
      </c>
      <c r="S37" s="1" t="n">
        <v>0.5455</v>
      </c>
    </row>
    <row r="38" customFormat="false" ht="12.75" hidden="false" customHeight="false" outlineLevel="0" collapsed="false">
      <c r="A38" s="1" t="s">
        <v>195</v>
      </c>
      <c r="B38" s="1" t="n">
        <v>0</v>
      </c>
      <c r="D38" s="1" t="n">
        <v>0.7</v>
      </c>
      <c r="E38" s="1" t="n">
        <v>4</v>
      </c>
      <c r="F38" s="1" t="n">
        <v>0</v>
      </c>
      <c r="G38" s="1" t="n">
        <v>0</v>
      </c>
      <c r="H38" s="1" t="n">
        <v>6</v>
      </c>
      <c r="I38" s="1" t="n">
        <v>4</v>
      </c>
      <c r="J38" s="1" t="n">
        <v>66.1</v>
      </c>
      <c r="K38" s="1" t="n">
        <v>58.5</v>
      </c>
      <c r="L38" s="1" t="n">
        <v>2</v>
      </c>
      <c r="M38" s="1" t="n">
        <v>12.28</v>
      </c>
      <c r="N38" s="1" t="n">
        <v>0.370659722</v>
      </c>
      <c r="O38" s="1" t="n">
        <v>0.299546142</v>
      </c>
      <c r="P38" s="1" t="n">
        <v>0.72</v>
      </c>
      <c r="Q38" s="1" t="n">
        <v>20</v>
      </c>
      <c r="R38" s="1" t="n">
        <v>12.4</v>
      </c>
      <c r="S38" s="1" t="n">
        <v>0.5</v>
      </c>
    </row>
    <row r="39" customFormat="false" ht="12.75" hidden="false" customHeight="false" outlineLevel="0" collapsed="false">
      <c r="A39" s="1" t="s">
        <v>372</v>
      </c>
      <c r="B39" s="1" t="n">
        <v>1</v>
      </c>
      <c r="D39" s="1" t="n">
        <v>0.75862069</v>
      </c>
      <c r="E39" s="1" t="n">
        <v>9</v>
      </c>
      <c r="F39" s="1" t="n">
        <v>1</v>
      </c>
      <c r="G39" s="1" t="n">
        <v>0</v>
      </c>
      <c r="H39" s="1" t="n">
        <v>0</v>
      </c>
      <c r="I39" s="1" t="n">
        <v>3</v>
      </c>
      <c r="J39" s="1" t="n">
        <v>76.7</v>
      </c>
      <c r="K39" s="1" t="n">
        <v>69.3</v>
      </c>
      <c r="L39" s="1" t="n">
        <v>0</v>
      </c>
      <c r="M39" s="1" t="n">
        <v>15.63</v>
      </c>
      <c r="N39" s="1" t="n">
        <v>0.296767875</v>
      </c>
      <c r="O39" s="1" t="n">
        <v>0.258148631</v>
      </c>
      <c r="P39" s="1" t="n">
        <v>0.666</v>
      </c>
      <c r="Q39" s="1" t="n">
        <v>20</v>
      </c>
      <c r="R39" s="1" t="n">
        <v>8.5</v>
      </c>
      <c r="S39" s="1" t="n">
        <v>0.6667</v>
      </c>
    </row>
    <row r="40" customFormat="false" ht="12.75" hidden="false" customHeight="false" outlineLevel="0" collapsed="false">
      <c r="A40" s="1" t="s">
        <v>41</v>
      </c>
      <c r="B40" s="1" t="n">
        <v>1</v>
      </c>
      <c r="D40" s="1" t="n">
        <v>0.833333333</v>
      </c>
      <c r="E40" s="1" t="n">
        <v>8</v>
      </c>
      <c r="F40" s="1" t="n">
        <v>0</v>
      </c>
      <c r="G40" s="1" t="n">
        <v>1</v>
      </c>
      <c r="H40" s="1" t="n">
        <v>6</v>
      </c>
      <c r="I40" s="1" t="n">
        <v>5</v>
      </c>
      <c r="J40" s="1" t="n">
        <v>74.7</v>
      </c>
      <c r="K40" s="1" t="n">
        <v>63.7</v>
      </c>
      <c r="L40" s="1" t="n">
        <v>0</v>
      </c>
      <c r="M40" s="1" t="n">
        <v>12.13</v>
      </c>
      <c r="N40" s="1" t="n">
        <v>0.4</v>
      </c>
      <c r="O40" s="1" t="n">
        <v>0.337349398</v>
      </c>
      <c r="P40" s="1" t="n">
        <v>0.718</v>
      </c>
      <c r="Q40" s="1" t="n">
        <v>21</v>
      </c>
      <c r="R40" s="1" t="n">
        <v>15.3</v>
      </c>
      <c r="S40" s="1" t="n">
        <v>0.5556</v>
      </c>
    </row>
    <row r="41" customFormat="false" ht="12.75" hidden="false" customHeight="false" outlineLevel="0" collapsed="false">
      <c r="A41" s="1" t="s">
        <v>85</v>
      </c>
      <c r="B41" s="1" t="n">
        <v>0</v>
      </c>
      <c r="D41" s="1" t="n">
        <v>0.714285714</v>
      </c>
      <c r="E41" s="1" t="n">
        <v>6</v>
      </c>
      <c r="F41" s="1" t="n">
        <v>0</v>
      </c>
      <c r="G41" s="1" t="n">
        <v>0</v>
      </c>
      <c r="H41" s="1" t="n">
        <v>7</v>
      </c>
      <c r="I41" s="1" t="n">
        <v>4</v>
      </c>
      <c r="J41" s="1" t="n">
        <v>68.6</v>
      </c>
      <c r="K41" s="1" t="n">
        <v>63.7</v>
      </c>
      <c r="L41" s="1" t="n">
        <v>2</v>
      </c>
      <c r="M41" s="1" t="n">
        <v>14.04</v>
      </c>
      <c r="N41" s="1" t="n">
        <v>0.359361881</v>
      </c>
      <c r="O41" s="1" t="n">
        <v>0.262390671</v>
      </c>
      <c r="P41" s="1" t="n">
        <v>0.714</v>
      </c>
      <c r="Q41" s="1" t="n">
        <v>12</v>
      </c>
      <c r="R41" s="1" t="n">
        <v>8</v>
      </c>
      <c r="S41" s="1" t="n">
        <v>0.6667</v>
      </c>
    </row>
    <row r="42" customFormat="false" ht="12.75" hidden="false" customHeight="false" outlineLevel="0" collapsed="false">
      <c r="A42" s="1" t="s">
        <v>521</v>
      </c>
      <c r="B42" s="1" t="n">
        <v>0</v>
      </c>
      <c r="D42" s="1" t="n">
        <v>0.64516129</v>
      </c>
      <c r="E42" s="1" t="n">
        <v>8</v>
      </c>
      <c r="F42" s="1" t="n">
        <v>1</v>
      </c>
      <c r="G42" s="1" t="n">
        <v>0</v>
      </c>
      <c r="H42" s="1" t="n">
        <v>1</v>
      </c>
      <c r="I42" s="1" t="n">
        <v>5</v>
      </c>
      <c r="J42" s="1" t="n">
        <v>74.8</v>
      </c>
      <c r="K42" s="1" t="n">
        <v>68.7</v>
      </c>
      <c r="L42" s="1" t="n">
        <v>0</v>
      </c>
      <c r="M42" s="1" t="n">
        <v>14.34</v>
      </c>
      <c r="N42" s="1" t="n">
        <v>0.278688525</v>
      </c>
      <c r="O42" s="1" t="n">
        <v>0.264705882</v>
      </c>
      <c r="P42" s="1" t="n">
        <v>0.709</v>
      </c>
      <c r="Q42" s="1" t="n">
        <v>18</v>
      </c>
      <c r="R42" s="1" t="n">
        <v>9.9</v>
      </c>
      <c r="S42" s="1" t="n">
        <v>0.1429</v>
      </c>
    </row>
    <row r="43" customFormat="false" ht="12.75" hidden="false" customHeight="false" outlineLevel="0" collapsed="false">
      <c r="A43" s="1" t="s">
        <v>375</v>
      </c>
      <c r="B43" s="1" t="n">
        <v>0</v>
      </c>
      <c r="D43" s="1" t="n">
        <v>0.75862069</v>
      </c>
      <c r="E43" s="1" t="n">
        <v>9</v>
      </c>
      <c r="F43" s="1" t="n">
        <v>1</v>
      </c>
      <c r="G43" s="1" t="n">
        <v>0</v>
      </c>
      <c r="H43" s="1" t="n">
        <v>1</v>
      </c>
      <c r="I43" s="1" t="n">
        <v>1</v>
      </c>
      <c r="J43" s="1" t="n">
        <v>74.2</v>
      </c>
      <c r="K43" s="1" t="n">
        <v>65.2</v>
      </c>
      <c r="L43" s="1" t="n">
        <v>2</v>
      </c>
      <c r="M43" s="1" t="n">
        <v>13.03</v>
      </c>
      <c r="N43" s="1" t="n">
        <v>0.324053452</v>
      </c>
      <c r="O43" s="1" t="n">
        <v>0.266846361</v>
      </c>
      <c r="P43" s="1" t="n">
        <v>0.746</v>
      </c>
      <c r="Q43" s="1" t="n">
        <v>15</v>
      </c>
      <c r="R43" s="1" t="n">
        <v>15.3</v>
      </c>
      <c r="S43" s="1" t="n">
        <v>0.6667</v>
      </c>
    </row>
    <row r="44" customFormat="false" ht="12.75" hidden="false" customHeight="false" outlineLevel="0" collapsed="false">
      <c r="A44" s="1" t="s">
        <v>539</v>
      </c>
      <c r="B44" s="1" t="n">
        <v>0</v>
      </c>
      <c r="D44" s="1" t="n">
        <v>0.703703704</v>
      </c>
      <c r="E44" s="1" t="n">
        <v>8</v>
      </c>
      <c r="F44" s="1" t="n">
        <v>0</v>
      </c>
      <c r="G44" s="1" t="n">
        <v>0</v>
      </c>
      <c r="H44" s="1" t="n">
        <v>0</v>
      </c>
      <c r="I44" s="1" t="n">
        <v>2</v>
      </c>
      <c r="J44" s="1" t="n">
        <v>69.1</v>
      </c>
      <c r="K44" s="1" t="n">
        <v>60.1</v>
      </c>
      <c r="L44" s="1" t="n">
        <v>2</v>
      </c>
      <c r="M44" s="1" t="n">
        <v>13.36</v>
      </c>
      <c r="N44" s="1" t="n">
        <v>0.334156379</v>
      </c>
      <c r="O44" s="1" t="n">
        <v>0.286541245</v>
      </c>
      <c r="P44" s="1" t="n">
        <v>0.675</v>
      </c>
      <c r="Q44" s="1" t="n">
        <v>16</v>
      </c>
      <c r="R44" s="1" t="n">
        <v>12.7</v>
      </c>
      <c r="S44" s="1" t="n">
        <v>0.4444</v>
      </c>
    </row>
    <row r="45" customFormat="false" ht="12.75" hidden="false" customHeight="false" outlineLevel="0" collapsed="false">
      <c r="A45" s="1" t="s">
        <v>197</v>
      </c>
      <c r="B45" s="1" t="n">
        <v>1</v>
      </c>
      <c r="D45" s="1" t="n">
        <v>0.774193548</v>
      </c>
      <c r="E45" s="1" t="n">
        <v>6</v>
      </c>
      <c r="F45" s="1" t="n">
        <v>0</v>
      </c>
      <c r="G45" s="1" t="n">
        <v>1</v>
      </c>
      <c r="H45" s="1" t="n">
        <v>6</v>
      </c>
      <c r="I45" s="1" t="n">
        <v>6</v>
      </c>
      <c r="J45" s="1" t="n">
        <v>72.5</v>
      </c>
      <c r="K45" s="1" t="n">
        <v>63.1</v>
      </c>
      <c r="L45" s="1" t="n">
        <v>3</v>
      </c>
      <c r="M45" s="1" t="n">
        <v>13.74</v>
      </c>
      <c r="N45" s="1" t="n">
        <v>0.368421053</v>
      </c>
      <c r="O45" s="1" t="n">
        <v>0.260689655</v>
      </c>
      <c r="P45" s="1" t="n">
        <v>0.693</v>
      </c>
      <c r="Q45" s="1" t="n">
        <v>14</v>
      </c>
      <c r="R45" s="1" t="n">
        <v>14</v>
      </c>
      <c r="S45" s="1" t="n">
        <v>0.4167</v>
      </c>
    </row>
    <row r="46" customFormat="false" ht="12.75" hidden="false" customHeight="false" outlineLevel="0" collapsed="false">
      <c r="A46" s="1" t="s">
        <v>260</v>
      </c>
      <c r="B46" s="1" t="n">
        <v>0</v>
      </c>
      <c r="D46" s="1" t="n">
        <v>0.733333333</v>
      </c>
      <c r="E46" s="1" t="n">
        <v>8</v>
      </c>
      <c r="F46" s="1" t="n">
        <v>1</v>
      </c>
      <c r="G46" s="1" t="n">
        <v>0</v>
      </c>
      <c r="H46" s="1" t="n">
        <v>2</v>
      </c>
      <c r="I46" s="1" t="n">
        <v>2</v>
      </c>
      <c r="J46" s="1" t="n">
        <v>74.2</v>
      </c>
      <c r="K46" s="1" t="n">
        <v>67.6</v>
      </c>
      <c r="L46" s="1" t="n">
        <v>0</v>
      </c>
      <c r="M46" s="1" t="n">
        <v>15.06</v>
      </c>
      <c r="N46" s="1" t="n">
        <v>0.340505145</v>
      </c>
      <c r="O46" s="1" t="n">
        <v>0.266846361</v>
      </c>
      <c r="P46" s="1" t="n">
        <v>0.728</v>
      </c>
      <c r="Q46" s="1" t="n">
        <v>15</v>
      </c>
      <c r="R46" s="1" t="n">
        <v>10.4</v>
      </c>
      <c r="S46" s="1" t="n">
        <v>0.5</v>
      </c>
    </row>
    <row r="47" customFormat="false" ht="12.75" hidden="false" customHeight="false" outlineLevel="0" collapsed="false">
      <c r="A47" s="1" t="s">
        <v>73</v>
      </c>
      <c r="B47" s="1" t="n">
        <v>0</v>
      </c>
      <c r="D47" s="1" t="n">
        <v>0.620689655</v>
      </c>
      <c r="E47" s="1" t="n">
        <v>5</v>
      </c>
      <c r="F47" s="1" t="n">
        <v>0</v>
      </c>
      <c r="G47" s="1" t="n">
        <v>1</v>
      </c>
      <c r="H47" s="1" t="n">
        <v>6</v>
      </c>
      <c r="I47" s="1" t="n">
        <v>4</v>
      </c>
      <c r="J47" s="1" t="n">
        <v>67.8</v>
      </c>
      <c r="K47" s="1" t="n">
        <v>67.1</v>
      </c>
      <c r="L47" s="1" t="n">
        <v>1</v>
      </c>
      <c r="M47" s="1" t="n">
        <v>13.45</v>
      </c>
      <c r="N47" s="1" t="n">
        <v>0.333005894</v>
      </c>
      <c r="O47" s="1" t="n">
        <v>0.256637168</v>
      </c>
      <c r="P47" s="1" t="n">
        <v>0.746</v>
      </c>
      <c r="Q47" s="1" t="n">
        <v>18</v>
      </c>
      <c r="R47" s="1" t="n">
        <v>1</v>
      </c>
      <c r="S47" s="1" t="n">
        <v>0.6</v>
      </c>
    </row>
    <row r="48" customFormat="false" ht="12.75" hidden="false" customHeight="false" outlineLevel="0" collapsed="false">
      <c r="A48" s="1" t="s">
        <v>524</v>
      </c>
      <c r="B48" s="1" t="n">
        <v>0</v>
      </c>
      <c r="D48" s="1" t="n">
        <v>0.793103448</v>
      </c>
      <c r="E48" s="1" t="n">
        <v>9</v>
      </c>
      <c r="F48" s="1" t="n">
        <v>1</v>
      </c>
      <c r="G48" s="1" t="n">
        <v>0</v>
      </c>
      <c r="H48" s="1" t="n">
        <v>0</v>
      </c>
      <c r="I48" s="1" t="n">
        <v>1</v>
      </c>
      <c r="J48" s="1" t="n">
        <v>74.4</v>
      </c>
      <c r="K48" s="1" t="n">
        <v>66.2</v>
      </c>
      <c r="L48" s="1" t="n">
        <v>0</v>
      </c>
      <c r="M48" s="1" t="n">
        <v>13.3</v>
      </c>
      <c r="N48" s="1" t="n">
        <v>0.324053452</v>
      </c>
      <c r="O48" s="1" t="n">
        <v>0.346774194</v>
      </c>
      <c r="P48" s="1" t="n">
        <v>0.703</v>
      </c>
      <c r="Q48" s="1" t="n">
        <v>18</v>
      </c>
      <c r="R48" s="1" t="n">
        <v>11.8</v>
      </c>
      <c r="S48" s="1" t="n">
        <v>0.75</v>
      </c>
    </row>
    <row r="49" customFormat="false" ht="12.75" hidden="false" customHeight="false" outlineLevel="0" collapsed="false">
      <c r="A49" s="1" t="s">
        <v>199</v>
      </c>
      <c r="B49" s="1" t="n">
        <v>0</v>
      </c>
      <c r="D49" s="1" t="n">
        <v>0.612903226</v>
      </c>
      <c r="E49" s="1" t="n">
        <v>9</v>
      </c>
      <c r="F49" s="1" t="n">
        <v>1</v>
      </c>
      <c r="G49" s="1" t="n">
        <v>0</v>
      </c>
      <c r="H49" s="1" t="n">
        <v>0</v>
      </c>
      <c r="I49" s="1" t="n">
        <v>5</v>
      </c>
      <c r="J49" s="1" t="n">
        <v>65.8</v>
      </c>
      <c r="K49" s="1" t="n">
        <v>64.7</v>
      </c>
      <c r="L49" s="1" t="n">
        <v>0</v>
      </c>
      <c r="M49" s="1" t="n">
        <v>17.58</v>
      </c>
      <c r="N49" s="1" t="n">
        <v>0.361031519</v>
      </c>
      <c r="O49" s="1" t="n">
        <v>0.205167173</v>
      </c>
      <c r="P49" s="1" t="n">
        <v>0.647</v>
      </c>
      <c r="Q49" s="1" t="n">
        <v>14</v>
      </c>
      <c r="R49" s="1" t="n">
        <v>1.1</v>
      </c>
      <c r="S49" s="1" t="n">
        <v>0.4444</v>
      </c>
    </row>
    <row r="50" customFormat="false" ht="12.75" hidden="false" customHeight="false" outlineLevel="0" collapsed="false">
      <c r="A50" s="1" t="s">
        <v>552</v>
      </c>
      <c r="B50" s="1" t="n">
        <v>0</v>
      </c>
      <c r="D50" s="1" t="n">
        <v>0.709677419</v>
      </c>
      <c r="E50" s="1" t="n">
        <v>6</v>
      </c>
      <c r="F50" s="1" t="n">
        <v>1</v>
      </c>
      <c r="G50" s="1" t="n">
        <v>0</v>
      </c>
      <c r="H50" s="1" t="n">
        <v>7</v>
      </c>
      <c r="I50" s="1" t="n">
        <v>4</v>
      </c>
      <c r="J50" s="1" t="n">
        <v>60.9</v>
      </c>
      <c r="K50" s="1" t="n">
        <v>56</v>
      </c>
      <c r="L50" s="1" t="n">
        <v>3</v>
      </c>
      <c r="M50" s="1" t="n">
        <v>14.31</v>
      </c>
      <c r="N50" s="1" t="n">
        <v>0.361031519</v>
      </c>
      <c r="O50" s="1" t="n">
        <v>0.275862069</v>
      </c>
      <c r="P50" s="1" t="n">
        <v>0.686</v>
      </c>
      <c r="Q50" s="1" t="n">
        <v>14</v>
      </c>
      <c r="R50" s="1" t="n">
        <v>6.2</v>
      </c>
      <c r="S50" s="1" t="n">
        <v>0.75</v>
      </c>
    </row>
    <row r="51" customFormat="false" ht="12.75" hidden="false" customHeight="false" outlineLevel="0" collapsed="false">
      <c r="A51" s="1" t="s">
        <v>81</v>
      </c>
      <c r="B51" s="1" t="n">
        <v>0</v>
      </c>
      <c r="D51" s="1" t="n">
        <v>0.676470588</v>
      </c>
      <c r="E51" s="1" t="n">
        <v>6</v>
      </c>
      <c r="F51" s="1" t="n">
        <v>1</v>
      </c>
      <c r="G51" s="1" t="n">
        <v>1</v>
      </c>
      <c r="H51" s="1" t="n">
        <v>6</v>
      </c>
      <c r="I51" s="1" t="n">
        <v>9</v>
      </c>
      <c r="J51" s="1" t="n">
        <v>72.9</v>
      </c>
      <c r="K51" s="1" t="n">
        <v>68.9</v>
      </c>
      <c r="L51" s="1" t="n">
        <v>3</v>
      </c>
      <c r="M51" s="1" t="n">
        <v>15.29</v>
      </c>
      <c r="N51" s="1" t="n">
        <v>0.356868764</v>
      </c>
      <c r="O51" s="1" t="n">
        <v>0.308641975</v>
      </c>
      <c r="P51" s="1" t="n">
        <v>0.643</v>
      </c>
      <c r="Q51" s="1" t="n">
        <v>17</v>
      </c>
      <c r="R51" s="1" t="n">
        <v>4.9</v>
      </c>
      <c r="S51" s="1" t="n">
        <v>0.8182</v>
      </c>
    </row>
    <row r="52" customFormat="false" ht="12.75" hidden="false" customHeight="false" outlineLevel="0" collapsed="false">
      <c r="A52" s="1" t="s">
        <v>336</v>
      </c>
      <c r="B52" s="1" t="n">
        <v>1</v>
      </c>
      <c r="D52" s="1" t="n">
        <v>0.75</v>
      </c>
      <c r="E52" s="1" t="n">
        <v>6</v>
      </c>
      <c r="F52" s="1" t="n">
        <v>0</v>
      </c>
      <c r="G52" s="1" t="n">
        <v>1</v>
      </c>
      <c r="H52" s="1" t="n">
        <v>6</v>
      </c>
      <c r="I52" s="1" t="n">
        <v>5</v>
      </c>
      <c r="J52" s="1" t="n">
        <v>81.3</v>
      </c>
      <c r="K52" s="1" t="n">
        <v>73.5</v>
      </c>
      <c r="L52" s="1" t="n">
        <v>0</v>
      </c>
      <c r="M52" s="1" t="n">
        <v>12.96</v>
      </c>
      <c r="N52" s="1" t="n">
        <v>0.345824411</v>
      </c>
      <c r="O52" s="1" t="n">
        <v>0.328413284</v>
      </c>
      <c r="P52" s="1" t="n">
        <v>0.701</v>
      </c>
      <c r="Q52" s="1" t="n">
        <v>14</v>
      </c>
      <c r="R52" s="1" t="n">
        <v>9.6</v>
      </c>
      <c r="S52" s="1" t="n">
        <v>0.7143</v>
      </c>
    </row>
    <row r="53" customFormat="false" ht="12.75" hidden="false" customHeight="false" outlineLevel="0" collapsed="false">
      <c r="A53" s="1" t="s">
        <v>33</v>
      </c>
      <c r="B53" s="1" t="n">
        <v>3</v>
      </c>
      <c r="D53" s="1" t="n">
        <v>0.818181818</v>
      </c>
      <c r="E53" s="1" t="n">
        <v>7</v>
      </c>
      <c r="F53" s="1" t="n">
        <v>0</v>
      </c>
      <c r="G53" s="1" t="n">
        <v>0</v>
      </c>
      <c r="H53" s="1" t="n">
        <v>9</v>
      </c>
      <c r="I53" s="1" t="n">
        <v>5</v>
      </c>
      <c r="J53" s="1" t="n">
        <v>76.1</v>
      </c>
      <c r="K53" s="1" t="n">
        <v>60.3</v>
      </c>
      <c r="L53" s="1" t="n">
        <v>3</v>
      </c>
      <c r="M53" s="1" t="n">
        <v>13.7</v>
      </c>
      <c r="N53" s="1" t="n">
        <v>0.34939759</v>
      </c>
      <c r="O53" s="1" t="n">
        <v>0.291721419</v>
      </c>
      <c r="P53" s="1" t="n">
        <v>0.727</v>
      </c>
      <c r="Q53" s="1" t="n">
        <v>16</v>
      </c>
      <c r="R53" s="1" t="n">
        <v>22.3</v>
      </c>
      <c r="S53" s="1" t="n">
        <v>0.8571</v>
      </c>
    </row>
    <row r="54" customFormat="false" ht="12.75" hidden="false" customHeight="false" outlineLevel="0" collapsed="false">
      <c r="A54" s="1" t="s">
        <v>49</v>
      </c>
      <c r="B54" s="1" t="n">
        <v>1</v>
      </c>
      <c r="D54" s="1" t="n">
        <v>0.724137931</v>
      </c>
      <c r="E54" s="1" t="n">
        <v>8</v>
      </c>
      <c r="F54" s="1" t="n">
        <v>0</v>
      </c>
      <c r="G54" s="1" t="n">
        <v>0</v>
      </c>
      <c r="H54" s="1" t="n">
        <v>3</v>
      </c>
      <c r="I54" s="1" t="n">
        <v>6</v>
      </c>
      <c r="J54" s="1" t="n">
        <v>69.2</v>
      </c>
      <c r="K54" s="1" t="n">
        <v>60.3</v>
      </c>
      <c r="L54" s="1" t="n">
        <v>0</v>
      </c>
      <c r="M54" s="1" t="n">
        <v>13.41</v>
      </c>
      <c r="N54" s="1" t="n">
        <v>0.327529924</v>
      </c>
      <c r="O54" s="1" t="n">
        <v>0.286127168</v>
      </c>
      <c r="P54" s="1" t="n">
        <v>0.679</v>
      </c>
      <c r="Q54" s="1" t="n">
        <v>13</v>
      </c>
      <c r="R54" s="1" t="n">
        <v>12.8</v>
      </c>
      <c r="S54" s="1" t="n">
        <v>0.625</v>
      </c>
    </row>
    <row r="55" customFormat="false" ht="12.75" hidden="false" customHeight="false" outlineLevel="0" collapsed="false">
      <c r="A55" s="1" t="s">
        <v>264</v>
      </c>
      <c r="B55" s="1" t="n">
        <v>0</v>
      </c>
      <c r="D55" s="1" t="n">
        <v>0.793103448</v>
      </c>
      <c r="E55" s="1" t="n">
        <v>8</v>
      </c>
      <c r="F55" s="1" t="n">
        <v>0</v>
      </c>
      <c r="G55" s="1" t="n">
        <v>0</v>
      </c>
      <c r="H55" s="1" t="n">
        <v>1</v>
      </c>
      <c r="I55" s="1" t="n">
        <v>2</v>
      </c>
      <c r="J55" s="1" t="n">
        <v>74.7</v>
      </c>
      <c r="K55" s="1" t="n">
        <v>65.5</v>
      </c>
      <c r="L55" s="1" t="n">
        <v>2</v>
      </c>
      <c r="M55" s="1" t="n">
        <v>12.83</v>
      </c>
      <c r="N55" s="1" t="n">
        <v>0.347266881</v>
      </c>
      <c r="O55" s="1" t="n">
        <v>0.289156627</v>
      </c>
      <c r="P55" s="1" t="n">
        <v>0.647</v>
      </c>
      <c r="Q55" s="1" t="n">
        <v>16</v>
      </c>
      <c r="R55" s="1" t="n">
        <v>12.4</v>
      </c>
      <c r="S55" s="1" t="n">
        <v>0.6667</v>
      </c>
    </row>
    <row r="56" customFormat="false" ht="12.75" hidden="false" customHeight="false" outlineLevel="0" collapsed="false">
      <c r="A56" s="1" t="s">
        <v>64</v>
      </c>
      <c r="B56" s="1" t="n">
        <v>5</v>
      </c>
      <c r="D56" s="1" t="n">
        <v>0.818181818</v>
      </c>
      <c r="E56" s="1" t="n">
        <v>8</v>
      </c>
      <c r="F56" s="1" t="n">
        <v>1</v>
      </c>
      <c r="G56" s="1" t="n">
        <v>0</v>
      </c>
      <c r="H56" s="1" t="n">
        <v>7</v>
      </c>
      <c r="I56" s="1" t="n">
        <v>5</v>
      </c>
      <c r="J56" s="1" t="n">
        <v>68.6</v>
      </c>
      <c r="K56" s="1" t="n">
        <v>58.7</v>
      </c>
      <c r="L56" s="1" t="n">
        <v>1</v>
      </c>
      <c r="M56" s="1" t="n">
        <v>14.55</v>
      </c>
      <c r="N56" s="1" t="n">
        <v>0.329963235</v>
      </c>
      <c r="O56" s="1" t="n">
        <v>0.275510204</v>
      </c>
      <c r="P56" s="1" t="n">
        <v>0.691</v>
      </c>
      <c r="Q56" s="1" t="n">
        <v>15</v>
      </c>
      <c r="R56" s="1" t="n">
        <v>14.3</v>
      </c>
      <c r="S56" s="1" t="n">
        <v>0.6667</v>
      </c>
    </row>
    <row r="57" customFormat="false" ht="12.75" hidden="false" customHeight="false" outlineLevel="0" collapsed="false">
      <c r="A57" s="1" t="s">
        <v>130</v>
      </c>
      <c r="B57" s="1" t="n">
        <v>0</v>
      </c>
      <c r="D57" s="1" t="n">
        <v>0.78125</v>
      </c>
      <c r="E57" s="1" t="n">
        <v>9</v>
      </c>
      <c r="F57" s="1" t="n">
        <v>1</v>
      </c>
      <c r="G57" s="1" t="n">
        <v>0</v>
      </c>
      <c r="H57" s="1" t="n">
        <v>1</v>
      </c>
      <c r="I57" s="1" t="n">
        <v>2</v>
      </c>
      <c r="J57" s="1" t="n">
        <v>67.7</v>
      </c>
      <c r="K57" s="1" t="n">
        <v>59.8</v>
      </c>
      <c r="L57" s="1" t="n">
        <v>1</v>
      </c>
      <c r="M57" s="1" t="n">
        <v>12.47</v>
      </c>
      <c r="N57" s="1" t="n">
        <v>0.329015544</v>
      </c>
      <c r="O57" s="1" t="n">
        <v>0.283604136</v>
      </c>
      <c r="P57" s="1" t="n">
        <v>0.699</v>
      </c>
      <c r="Q57" s="1" t="n">
        <v>18</v>
      </c>
      <c r="R57" s="1" t="n">
        <v>12.6</v>
      </c>
      <c r="S57" s="1" t="n">
        <v>0.375</v>
      </c>
    </row>
    <row r="58" customFormat="false" ht="12.75" hidden="false" customHeight="false" outlineLevel="0" collapsed="false">
      <c r="A58" s="1" t="s">
        <v>471</v>
      </c>
      <c r="B58" s="1" t="n">
        <v>0</v>
      </c>
      <c r="D58" s="1" t="n">
        <v>0.733333333</v>
      </c>
      <c r="E58" s="1" t="n">
        <v>7</v>
      </c>
      <c r="F58" s="1" t="n">
        <v>0</v>
      </c>
      <c r="G58" s="1" t="n">
        <v>0</v>
      </c>
      <c r="H58" s="1" t="n">
        <v>4</v>
      </c>
      <c r="I58" s="1" t="n">
        <v>2</v>
      </c>
      <c r="J58" s="1" t="n">
        <v>72.5</v>
      </c>
      <c r="K58" s="1" t="n">
        <v>65.1</v>
      </c>
      <c r="L58" s="1" t="n">
        <v>2</v>
      </c>
      <c r="M58" s="1" t="n">
        <v>12.87</v>
      </c>
      <c r="N58" s="1" t="n">
        <v>0.282296651</v>
      </c>
      <c r="O58" s="1" t="n">
        <v>0.306206897</v>
      </c>
      <c r="P58" s="1" t="n">
        <v>0.722</v>
      </c>
      <c r="Q58" s="1" t="n">
        <v>12</v>
      </c>
      <c r="R58" s="1" t="n">
        <v>11.4</v>
      </c>
      <c r="S58" s="1" t="n">
        <v>0.7273</v>
      </c>
    </row>
    <row r="59" customFormat="false" ht="12.75" hidden="false" customHeight="false" outlineLevel="0" collapsed="false">
      <c r="A59" s="1" t="s">
        <v>135</v>
      </c>
      <c r="B59" s="1" t="n">
        <v>3</v>
      </c>
      <c r="D59" s="1" t="n">
        <v>0.862068966</v>
      </c>
      <c r="E59" s="1" t="n">
        <v>8</v>
      </c>
      <c r="F59" s="1" t="n">
        <v>0</v>
      </c>
      <c r="G59" s="1" t="n">
        <v>1</v>
      </c>
      <c r="H59" s="1" t="n">
        <v>9</v>
      </c>
      <c r="I59" s="1" t="n">
        <v>4</v>
      </c>
      <c r="J59" s="1" t="n">
        <v>75.4</v>
      </c>
      <c r="K59" s="1" t="n">
        <v>63.4</v>
      </c>
      <c r="L59" s="1" t="n">
        <v>1</v>
      </c>
      <c r="M59" s="1" t="n">
        <v>11.28</v>
      </c>
      <c r="N59" s="1" t="n">
        <v>0.372026641</v>
      </c>
      <c r="O59" s="1" t="n">
        <v>0.362068966</v>
      </c>
      <c r="P59" s="1" t="n">
        <v>0.757</v>
      </c>
      <c r="Q59" s="1" t="n">
        <v>17</v>
      </c>
      <c r="R59" s="1" t="n">
        <v>15.6</v>
      </c>
      <c r="S59" s="1" t="n">
        <v>0.7778</v>
      </c>
    </row>
    <row r="60" customFormat="false" ht="12.75" hidden="false" customHeight="false" outlineLevel="0" collapsed="false">
      <c r="A60" s="1" t="s">
        <v>472</v>
      </c>
      <c r="B60" s="1" t="n">
        <v>2</v>
      </c>
      <c r="D60" s="1" t="n">
        <v>0.8</v>
      </c>
      <c r="E60" s="1" t="n">
        <v>8</v>
      </c>
      <c r="F60" s="1" t="n">
        <v>0</v>
      </c>
      <c r="G60" s="1" t="n">
        <v>0</v>
      </c>
      <c r="H60" s="1" t="n">
        <v>6</v>
      </c>
      <c r="I60" s="1" t="n">
        <v>2</v>
      </c>
      <c r="J60" s="1" t="n">
        <v>82.4</v>
      </c>
      <c r="K60" s="1" t="n">
        <v>69.9</v>
      </c>
      <c r="L60" s="1" t="n">
        <v>2</v>
      </c>
      <c r="M60" s="1" t="n">
        <v>15.03</v>
      </c>
      <c r="N60" s="1" t="n">
        <v>0.391725352</v>
      </c>
      <c r="O60" s="1" t="n">
        <v>0.240291262</v>
      </c>
      <c r="P60" s="1" t="n">
        <v>0.749</v>
      </c>
      <c r="Q60" s="1" t="n">
        <v>16</v>
      </c>
      <c r="R60" s="1" t="n">
        <v>16.4</v>
      </c>
      <c r="S60" s="1" t="n">
        <v>0.8</v>
      </c>
    </row>
    <row r="61" customFormat="false" ht="12.75" hidden="false" customHeight="false" outlineLevel="0" collapsed="false">
      <c r="A61" s="1" t="s">
        <v>58</v>
      </c>
      <c r="B61" s="1" t="n">
        <v>2</v>
      </c>
      <c r="D61" s="1" t="n">
        <v>0.655172414</v>
      </c>
      <c r="E61" s="1" t="n">
        <v>4</v>
      </c>
      <c r="F61" s="1" t="n">
        <v>0</v>
      </c>
      <c r="G61" s="1" t="n">
        <v>1</v>
      </c>
      <c r="H61" s="1" t="n">
        <v>7</v>
      </c>
      <c r="I61" s="1" t="n">
        <v>8</v>
      </c>
      <c r="J61" s="1" t="n">
        <v>71.1</v>
      </c>
      <c r="K61" s="1" t="n">
        <v>64.4</v>
      </c>
      <c r="L61" s="1" t="n">
        <v>1</v>
      </c>
      <c r="M61" s="1" t="n">
        <v>8.47</v>
      </c>
      <c r="N61" s="1" t="n">
        <v>0.283333333</v>
      </c>
      <c r="O61" s="1" t="n">
        <v>0.426160338</v>
      </c>
      <c r="P61" s="1" t="n">
        <v>0.745</v>
      </c>
      <c r="Q61" s="1" t="n">
        <v>22</v>
      </c>
      <c r="R61" s="1" t="n">
        <v>11.4</v>
      </c>
      <c r="S61" s="1" t="n">
        <v>0.6</v>
      </c>
    </row>
    <row r="62" customFormat="false" ht="12.75" hidden="false" customHeight="false" outlineLevel="0" collapsed="false">
      <c r="A62" s="1" t="s">
        <v>210</v>
      </c>
      <c r="B62" s="1" t="n">
        <v>2</v>
      </c>
      <c r="D62" s="1" t="n">
        <v>0.741935484</v>
      </c>
      <c r="E62" s="1" t="n">
        <v>7</v>
      </c>
      <c r="F62" s="1" t="n">
        <v>0</v>
      </c>
      <c r="G62" s="1" t="n">
        <v>0</v>
      </c>
      <c r="H62" s="1" t="n">
        <v>4</v>
      </c>
      <c r="I62" s="1" t="n">
        <v>7</v>
      </c>
      <c r="J62" s="1" t="n">
        <v>68.8</v>
      </c>
      <c r="K62" s="1" t="n">
        <v>62.1</v>
      </c>
      <c r="L62" s="1" t="n">
        <v>0</v>
      </c>
      <c r="M62" s="1" t="n">
        <v>12.88</v>
      </c>
      <c r="N62" s="1" t="n">
        <v>0.321906355</v>
      </c>
      <c r="O62" s="1" t="n">
        <v>0.292151163</v>
      </c>
      <c r="P62" s="1" t="n">
        <v>0.724</v>
      </c>
      <c r="Q62" s="1" t="n">
        <v>17</v>
      </c>
      <c r="R62" s="1" t="n">
        <v>11.3</v>
      </c>
      <c r="S62" s="1" t="n">
        <v>0.6667</v>
      </c>
    </row>
    <row r="63" customFormat="false" ht="12.75" hidden="false" customHeight="false" outlineLevel="0" collapsed="false">
      <c r="A63" s="1" t="s">
        <v>137</v>
      </c>
      <c r="B63" s="1" t="n">
        <v>0</v>
      </c>
      <c r="D63" s="1" t="n">
        <v>0.75</v>
      </c>
      <c r="E63" s="1" t="n">
        <v>9</v>
      </c>
      <c r="F63" s="1" t="n">
        <v>1</v>
      </c>
      <c r="G63" s="1" t="n">
        <v>0</v>
      </c>
      <c r="H63" s="1" t="n">
        <v>1</v>
      </c>
      <c r="I63" s="1" t="n">
        <v>2</v>
      </c>
      <c r="J63" s="1" t="n">
        <v>73.8</v>
      </c>
      <c r="K63" s="1" t="n">
        <v>61.1</v>
      </c>
      <c r="L63" s="1" t="n">
        <v>1</v>
      </c>
      <c r="M63" s="1" t="n">
        <v>14.13</v>
      </c>
      <c r="N63" s="1" t="n">
        <v>0.354395604</v>
      </c>
      <c r="O63" s="1" t="n">
        <v>0.31300813</v>
      </c>
      <c r="P63" s="1" t="n">
        <v>0.692</v>
      </c>
      <c r="Q63" s="1" t="n">
        <v>17</v>
      </c>
      <c r="R63" s="1" t="n">
        <v>18.1</v>
      </c>
      <c r="S63" s="1" t="n">
        <v>0.5556</v>
      </c>
    </row>
    <row r="64" customFormat="false" ht="12.75" hidden="false" customHeight="false" outlineLevel="0" collapsed="false">
      <c r="A64" s="1" t="s">
        <v>553</v>
      </c>
      <c r="B64" s="1" t="n">
        <v>0</v>
      </c>
      <c r="D64" s="1" t="n">
        <v>0.633333333</v>
      </c>
      <c r="E64" s="1" t="n">
        <v>4</v>
      </c>
      <c r="F64" s="1" t="n">
        <v>0</v>
      </c>
      <c r="G64" s="1" t="n">
        <v>1</v>
      </c>
      <c r="H64" s="1" t="n">
        <v>7</v>
      </c>
      <c r="I64" s="1" t="n">
        <v>6</v>
      </c>
      <c r="J64" s="1" t="n">
        <v>71</v>
      </c>
      <c r="K64" s="1" t="n">
        <v>65.8</v>
      </c>
      <c r="L64" s="1" t="n">
        <v>3</v>
      </c>
      <c r="M64" s="1" t="n">
        <v>11.63</v>
      </c>
      <c r="N64" s="1" t="n">
        <v>0.353691887</v>
      </c>
      <c r="O64" s="1" t="n">
        <v>0.266197183</v>
      </c>
      <c r="P64" s="1" t="n">
        <v>0.664</v>
      </c>
      <c r="Q64" s="1" t="n">
        <v>18</v>
      </c>
      <c r="R64" s="1" t="n">
        <v>8.2</v>
      </c>
      <c r="S64" s="1" t="n">
        <v>0.7143</v>
      </c>
    </row>
    <row r="65" customFormat="false" ht="12.75" hidden="false" customHeight="false" outlineLevel="0" collapsed="false">
      <c r="A65" s="1" t="s">
        <v>554</v>
      </c>
      <c r="B65" s="1" t="n">
        <v>1</v>
      </c>
      <c r="D65" s="1" t="n">
        <v>0.714285714</v>
      </c>
      <c r="E65" s="1" t="n">
        <v>6</v>
      </c>
      <c r="F65" s="1" t="n">
        <v>1</v>
      </c>
      <c r="G65" s="1" t="n">
        <v>0</v>
      </c>
      <c r="H65" s="1" t="n">
        <v>1</v>
      </c>
      <c r="I65" s="1" t="n">
        <v>2</v>
      </c>
      <c r="J65" s="1" t="n">
        <v>74.2</v>
      </c>
      <c r="K65" s="1" t="n">
        <v>67.1</v>
      </c>
      <c r="L65" s="1" t="n">
        <v>2</v>
      </c>
      <c r="M65" s="1" t="n">
        <v>13.72</v>
      </c>
      <c r="N65" s="1" t="n">
        <v>0.382142857</v>
      </c>
      <c r="O65" s="1" t="n">
        <v>0.266846361</v>
      </c>
      <c r="P65" s="1" t="n">
        <v>0.69</v>
      </c>
      <c r="Q65" s="1" t="n">
        <v>19</v>
      </c>
      <c r="R65" s="1" t="n">
        <v>10.9</v>
      </c>
      <c r="S65" s="1" t="n">
        <v>0.5714</v>
      </c>
    </row>
    <row r="66" customFormat="false" ht="12.75" hidden="false" customHeight="false" outlineLevel="0" collapsed="false">
      <c r="A66" s="1" t="s">
        <v>36</v>
      </c>
      <c r="B66" s="1" t="n">
        <v>0</v>
      </c>
      <c r="D66" s="1" t="n">
        <v>0.677419355</v>
      </c>
      <c r="E66" s="1" t="n">
        <v>7</v>
      </c>
      <c r="F66" s="1" t="n">
        <v>1</v>
      </c>
      <c r="G66" s="1" t="n">
        <v>0</v>
      </c>
      <c r="H66" s="1" t="n">
        <v>1</v>
      </c>
      <c r="I66" s="1" t="n">
        <v>2</v>
      </c>
      <c r="J66" s="1" t="n">
        <v>71.5</v>
      </c>
      <c r="K66" s="1" t="n">
        <v>63.4</v>
      </c>
      <c r="L66" s="1" t="n">
        <v>2</v>
      </c>
      <c r="M66" s="1" t="n">
        <v>12.97</v>
      </c>
      <c r="N66" s="1" t="n">
        <v>0.300917431</v>
      </c>
      <c r="O66" s="1" t="n">
        <v>0.281118881</v>
      </c>
      <c r="P66" s="1" t="n">
        <v>0.724</v>
      </c>
      <c r="Q66" s="1" t="n">
        <v>18</v>
      </c>
      <c r="R66" s="1" t="n">
        <v>12.3</v>
      </c>
      <c r="S66" s="1" t="n">
        <v>0.4615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RowHeight="12.75" zeroHeight="false" outlineLevelRow="0" outlineLevelCol="0"/>
  <cols>
    <col collapsed="false" customWidth="true" hidden="false" outlineLevel="0" max="1" min="1" style="0" width="19"/>
    <col collapsed="false" customWidth="true" hidden="false" outlineLevel="0" max="19" min="2" style="0" width="17.29"/>
    <col collapsed="false" customWidth="true" hidden="false" outlineLevel="0" max="1025" min="20" style="0" width="14.43"/>
  </cols>
  <sheetData>
    <row r="1" customFormat="false" ht="12.75" hidden="false" customHeight="false" outlineLevel="0" collapsed="false">
      <c r="A1" s="1" t="s">
        <v>2</v>
      </c>
      <c r="B1" s="1" t="s">
        <v>213</v>
      </c>
      <c r="C1" s="1" t="s">
        <v>473</v>
      </c>
      <c r="D1" s="1" t="s">
        <v>498</v>
      </c>
      <c r="E1" s="1" t="s">
        <v>442</v>
      </c>
      <c r="F1" s="1" t="s">
        <v>443</v>
      </c>
      <c r="G1" s="1" t="s">
        <v>444</v>
      </c>
      <c r="H1" s="1" t="s">
        <v>445</v>
      </c>
      <c r="I1" s="1" t="s">
        <v>474</v>
      </c>
      <c r="J1" s="1" t="s">
        <v>475</v>
      </c>
      <c r="K1" s="1" t="s">
        <v>446</v>
      </c>
      <c r="L1" s="1" t="s">
        <v>447</v>
      </c>
      <c r="M1" s="1" t="s">
        <v>448</v>
      </c>
      <c r="N1" s="1" t="s">
        <v>476</v>
      </c>
      <c r="O1" s="1" t="s">
        <v>287</v>
      </c>
      <c r="P1" s="1" t="s">
        <v>555</v>
      </c>
      <c r="Q1" s="1" t="s">
        <v>546</v>
      </c>
      <c r="R1" s="1" t="s">
        <v>453</v>
      </c>
    </row>
    <row r="2" customFormat="false" ht="12.75" hidden="false" customHeight="false" outlineLevel="0" collapsed="false">
      <c r="A2" s="25" t="s">
        <v>57</v>
      </c>
      <c r="B2" s="1" t="n">
        <v>0</v>
      </c>
      <c r="C2" s="1" t="n">
        <v>0.75</v>
      </c>
      <c r="D2" s="1" t="n">
        <v>6</v>
      </c>
      <c r="E2" s="1" t="n">
        <v>0</v>
      </c>
      <c r="F2" s="1" t="n">
        <v>1</v>
      </c>
      <c r="G2" s="1" t="n">
        <v>5</v>
      </c>
      <c r="H2" s="1" t="n">
        <v>6</v>
      </c>
      <c r="I2" s="1" t="n">
        <v>75.8</v>
      </c>
      <c r="J2" s="1" t="n">
        <v>65.1</v>
      </c>
      <c r="K2" s="1" t="n">
        <v>3</v>
      </c>
      <c r="L2" s="1" t="n">
        <v>13</v>
      </c>
      <c r="M2" s="1" t="n">
        <v>0.283050847</v>
      </c>
      <c r="N2" s="1" t="n">
        <v>0.393987342</v>
      </c>
      <c r="O2" s="1" t="n">
        <v>0.736</v>
      </c>
      <c r="P2" s="1" t="n">
        <v>14</v>
      </c>
      <c r="Q2" s="1" t="n">
        <v>16.2</v>
      </c>
      <c r="R2" s="1" t="n">
        <v>0.7143</v>
      </c>
    </row>
    <row r="3" customFormat="false" ht="12.75" hidden="false" customHeight="false" outlineLevel="0" collapsed="false">
      <c r="A3" s="1" t="s">
        <v>556</v>
      </c>
      <c r="B3" s="1" t="n">
        <v>0</v>
      </c>
      <c r="C3" s="1" t="n">
        <v>0.563</v>
      </c>
      <c r="D3" s="1" t="n">
        <v>7</v>
      </c>
      <c r="E3" s="1" t="n">
        <v>1</v>
      </c>
      <c r="F3" s="1" t="n">
        <v>0</v>
      </c>
      <c r="G3" s="1" t="n">
        <v>0</v>
      </c>
      <c r="H3" s="1" t="n">
        <v>1</v>
      </c>
      <c r="I3" s="1" t="n">
        <v>69.7</v>
      </c>
      <c r="J3" s="1" t="n">
        <v>67.8</v>
      </c>
      <c r="K3" s="1" t="n">
        <v>0</v>
      </c>
      <c r="L3" s="1" t="n">
        <v>15</v>
      </c>
      <c r="M3" s="1" t="n">
        <v>0.318</v>
      </c>
      <c r="N3" s="1" t="n">
        <v>0.266</v>
      </c>
      <c r="O3" s="1" t="n">
        <v>0.613</v>
      </c>
      <c r="P3" s="1" t="n">
        <v>19</v>
      </c>
      <c r="Q3" s="1" t="n">
        <v>2.5</v>
      </c>
      <c r="R3" s="64" t="n">
        <v>0.545454545</v>
      </c>
    </row>
    <row r="4" customFormat="false" ht="12.75" hidden="false" customHeight="false" outlineLevel="0" collapsed="false">
      <c r="A4" s="25" t="s">
        <v>557</v>
      </c>
      <c r="B4" s="1" t="n">
        <v>1</v>
      </c>
      <c r="C4" s="1" t="n">
        <v>0.667</v>
      </c>
      <c r="D4" s="1" t="n">
        <v>6</v>
      </c>
      <c r="E4" s="1" t="n">
        <v>0</v>
      </c>
      <c r="F4" s="1" t="n">
        <v>0</v>
      </c>
      <c r="G4" s="1" t="n">
        <v>1</v>
      </c>
      <c r="H4" s="1" t="n">
        <v>4</v>
      </c>
      <c r="I4" s="1" t="n">
        <v>77.5</v>
      </c>
      <c r="J4" s="1" t="n">
        <v>71.8</v>
      </c>
      <c r="K4" s="1" t="n">
        <v>1</v>
      </c>
      <c r="L4" s="1" t="n">
        <v>13.5</v>
      </c>
      <c r="M4" s="1" t="n">
        <v>0.357798165</v>
      </c>
      <c r="N4" s="1" t="n">
        <v>0.3472</v>
      </c>
      <c r="O4" s="1" t="n">
        <v>0.696</v>
      </c>
      <c r="P4" s="1" t="n">
        <v>12</v>
      </c>
      <c r="Q4" s="25" t="n">
        <v>7.6</v>
      </c>
      <c r="R4" s="1" t="n">
        <v>0.5833</v>
      </c>
    </row>
    <row r="5" customFormat="false" ht="12.75" hidden="false" customHeight="false" outlineLevel="0" collapsed="false">
      <c r="A5" s="25" t="s">
        <v>26</v>
      </c>
      <c r="B5" s="1" t="n">
        <v>3</v>
      </c>
      <c r="C5" s="1" t="n">
        <v>0.811</v>
      </c>
      <c r="D5" s="1" t="n">
        <v>7</v>
      </c>
      <c r="E5" s="1" t="n">
        <v>0</v>
      </c>
      <c r="F5" s="1" t="n">
        <v>1</v>
      </c>
      <c r="G5" s="1" t="n">
        <v>6</v>
      </c>
      <c r="H5" s="1" t="n">
        <v>4</v>
      </c>
      <c r="I5" s="1" t="n">
        <v>79.7</v>
      </c>
      <c r="J5" s="1" t="n">
        <v>69.7</v>
      </c>
      <c r="K5" s="1" t="n">
        <v>3</v>
      </c>
      <c r="L5" s="1" t="n">
        <v>14.8</v>
      </c>
      <c r="M5" s="1" t="n">
        <v>0.362233652</v>
      </c>
      <c r="N5" s="1" t="n">
        <v>0.401587302</v>
      </c>
      <c r="O5" s="1" t="n">
        <v>0.776</v>
      </c>
      <c r="P5" s="1" t="n">
        <v>18</v>
      </c>
      <c r="Q5" s="1" t="n">
        <v>14</v>
      </c>
      <c r="R5" s="1" t="n">
        <v>0.8</v>
      </c>
    </row>
    <row r="6" customFormat="false" ht="12.75" hidden="false" customHeight="false" outlineLevel="0" collapsed="false">
      <c r="A6" s="25" t="s">
        <v>504</v>
      </c>
      <c r="B6" s="1" t="n">
        <v>1</v>
      </c>
      <c r="C6" s="1" t="n">
        <v>0.833</v>
      </c>
      <c r="D6" s="1" t="n">
        <v>5</v>
      </c>
      <c r="E6" s="1" t="n">
        <v>0</v>
      </c>
      <c r="F6" s="1" t="n">
        <v>1</v>
      </c>
      <c r="G6" s="1" t="n">
        <v>6</v>
      </c>
      <c r="H6" s="1" t="n">
        <v>3</v>
      </c>
      <c r="I6" s="1" t="n">
        <v>72.5</v>
      </c>
      <c r="J6" s="1" t="n">
        <v>64.5</v>
      </c>
      <c r="K6" s="1" t="n">
        <v>2</v>
      </c>
      <c r="L6" s="1" t="n">
        <v>13</v>
      </c>
      <c r="M6" s="1" t="n">
        <v>0.373568282</v>
      </c>
      <c r="N6" s="1" t="n">
        <v>0.341597796</v>
      </c>
      <c r="O6" s="1" t="n">
        <v>0.712</v>
      </c>
      <c r="P6" s="1" t="n">
        <v>18</v>
      </c>
      <c r="Q6" s="1" t="n">
        <v>11.9</v>
      </c>
      <c r="R6" s="1" t="n">
        <v>0.875</v>
      </c>
    </row>
    <row r="7" customFormat="false" ht="12.75" hidden="false" customHeight="false" outlineLevel="0" collapsed="false">
      <c r="A7" s="25" t="s">
        <v>83</v>
      </c>
      <c r="B7" s="1" t="n">
        <v>1</v>
      </c>
      <c r="C7" s="1" t="n">
        <v>0.697</v>
      </c>
      <c r="D7" s="1" t="n">
        <v>7</v>
      </c>
      <c r="E7" s="1" t="n">
        <v>1</v>
      </c>
      <c r="F7" s="1" t="n">
        <v>0</v>
      </c>
      <c r="G7" s="1" t="n">
        <v>1</v>
      </c>
      <c r="H7" s="1" t="n">
        <v>3</v>
      </c>
      <c r="I7" s="1" t="n">
        <v>63.5</v>
      </c>
      <c r="J7" s="1" t="n">
        <v>59</v>
      </c>
      <c r="K7" s="1" t="n">
        <v>0</v>
      </c>
      <c r="L7" s="1" t="n">
        <v>15.4</v>
      </c>
      <c r="M7" s="1" t="n">
        <v>0.294</v>
      </c>
      <c r="N7" s="1" t="n">
        <v>0.311</v>
      </c>
      <c r="O7" s="1" t="n">
        <v>0.701</v>
      </c>
      <c r="P7" s="1" t="n">
        <v>13</v>
      </c>
      <c r="Q7" s="25" t="n">
        <v>7.2</v>
      </c>
      <c r="R7" s="25" t="n">
        <v>0.7</v>
      </c>
    </row>
    <row r="8" customFormat="false" ht="12.75" hidden="false" customHeight="false" outlineLevel="0" collapsed="false">
      <c r="A8" s="25" t="s">
        <v>558</v>
      </c>
      <c r="B8" s="1" t="n">
        <v>0</v>
      </c>
      <c r="C8" s="1" t="n">
        <v>0.727</v>
      </c>
      <c r="D8" s="1" t="n">
        <v>9</v>
      </c>
      <c r="E8" s="1" t="n">
        <v>1</v>
      </c>
      <c r="F8" s="1" t="n">
        <v>0</v>
      </c>
      <c r="G8" s="1" t="n">
        <v>1</v>
      </c>
      <c r="H8" s="1" t="n">
        <v>0</v>
      </c>
      <c r="I8" s="1" t="n">
        <v>69.8</v>
      </c>
      <c r="J8" s="1" t="n">
        <v>65.2</v>
      </c>
      <c r="K8" s="1" t="n">
        <v>1</v>
      </c>
      <c r="L8" s="1" t="n">
        <v>15</v>
      </c>
      <c r="M8" s="1" t="n">
        <v>0.343</v>
      </c>
      <c r="N8" s="1" t="n">
        <v>0.368489583</v>
      </c>
      <c r="O8" s="1" t="n">
        <v>0.696</v>
      </c>
      <c r="P8" s="1" t="n">
        <v>11</v>
      </c>
      <c r="Q8" s="1" t="n">
        <v>7.2</v>
      </c>
      <c r="R8" s="1" t="n">
        <v>0.785714286</v>
      </c>
    </row>
    <row r="9" customFormat="false" ht="12.75" hidden="false" customHeight="false" outlineLevel="0" collapsed="false">
      <c r="A9" s="25" t="s">
        <v>559</v>
      </c>
      <c r="B9" s="1" t="n">
        <v>0</v>
      </c>
      <c r="C9" s="1" t="n">
        <v>0.724</v>
      </c>
      <c r="D9" s="1" t="n">
        <v>7</v>
      </c>
      <c r="E9" s="1" t="n">
        <v>0</v>
      </c>
      <c r="F9" s="1" t="n">
        <v>0</v>
      </c>
      <c r="G9" s="1" t="n">
        <v>2</v>
      </c>
      <c r="H9" s="1" t="n">
        <v>2</v>
      </c>
      <c r="I9" s="1" t="n">
        <v>77.8</v>
      </c>
      <c r="J9" s="1" t="n">
        <v>72.2</v>
      </c>
      <c r="K9" s="1" t="n">
        <v>2</v>
      </c>
      <c r="L9" s="1" t="n">
        <v>13.4</v>
      </c>
      <c r="M9" s="1" t="n">
        <v>0.377</v>
      </c>
      <c r="N9" s="1" t="n">
        <v>0.308</v>
      </c>
      <c r="O9" s="1" t="n">
        <v>0.684</v>
      </c>
      <c r="P9" s="1" t="n">
        <v>17</v>
      </c>
      <c r="Q9" s="25" t="n">
        <v>7.8</v>
      </c>
      <c r="R9" s="25" t="n">
        <v>0.625</v>
      </c>
    </row>
    <row r="10" customFormat="false" ht="12.75" hidden="false" customHeight="false" outlineLevel="0" collapsed="false">
      <c r="A10" s="25" t="s">
        <v>180</v>
      </c>
      <c r="B10" s="1" t="n">
        <v>0</v>
      </c>
      <c r="C10" s="1" t="n">
        <v>0.645</v>
      </c>
      <c r="D10" s="1" t="n">
        <v>7</v>
      </c>
      <c r="E10" s="1" t="n">
        <v>1</v>
      </c>
      <c r="F10" s="1" t="n">
        <v>0</v>
      </c>
      <c r="G10" s="1" t="n">
        <v>0</v>
      </c>
      <c r="H10" s="1" t="n">
        <v>0</v>
      </c>
      <c r="I10" s="1" t="n">
        <v>72.7</v>
      </c>
      <c r="J10" s="1" t="n">
        <v>65.6</v>
      </c>
      <c r="K10" s="1" t="n">
        <v>0</v>
      </c>
      <c r="L10" s="1" t="n">
        <v>17</v>
      </c>
      <c r="M10" s="1" t="n">
        <v>0.33</v>
      </c>
      <c r="N10" s="1" t="n">
        <v>0.223701731</v>
      </c>
      <c r="O10" s="1" t="n">
        <v>0.679</v>
      </c>
      <c r="P10" s="1" t="n">
        <v>12</v>
      </c>
      <c r="Q10" s="25" t="n">
        <v>10</v>
      </c>
      <c r="R10" s="1" t="n">
        <f aca="false">1/3</f>
        <v>0.3333333333</v>
      </c>
    </row>
    <row r="11" customFormat="false" ht="12.75" hidden="false" customHeight="false" outlineLevel="0" collapsed="false">
      <c r="A11" s="25" t="s">
        <v>34</v>
      </c>
      <c r="B11" s="1" t="n">
        <v>1</v>
      </c>
      <c r="C11" s="1" t="n">
        <v>0.758</v>
      </c>
      <c r="D11" s="1" t="n">
        <v>10</v>
      </c>
      <c r="E11" s="1" t="n">
        <v>0</v>
      </c>
      <c r="F11" s="1" t="n">
        <v>0</v>
      </c>
      <c r="G11" s="1" t="n">
        <v>3</v>
      </c>
      <c r="H11" s="1" t="n">
        <v>5</v>
      </c>
      <c r="I11" s="1" t="n">
        <v>75.9</v>
      </c>
      <c r="J11" s="1" t="n">
        <v>64.5</v>
      </c>
      <c r="K11" s="1" t="n">
        <v>3</v>
      </c>
      <c r="L11" s="1" t="n">
        <v>13.2</v>
      </c>
      <c r="M11" s="1" t="n">
        <v>0.346833579</v>
      </c>
      <c r="N11" s="1" t="n">
        <v>0.264</v>
      </c>
      <c r="O11" s="1" t="n">
        <v>0.69</v>
      </c>
      <c r="P11" s="1" t="n">
        <v>17</v>
      </c>
      <c r="Q11" s="1" t="n">
        <v>16.4</v>
      </c>
      <c r="R11" s="25" t="n">
        <v>0.666666667</v>
      </c>
    </row>
    <row r="12" customFormat="false" ht="12.75" hidden="false" customHeight="false" outlineLevel="0" collapsed="false">
      <c r="A12" s="25" t="s">
        <v>182</v>
      </c>
      <c r="B12" s="1" t="n">
        <v>1</v>
      </c>
      <c r="C12" s="1" t="n">
        <v>0.742</v>
      </c>
      <c r="D12" s="1" t="n">
        <v>8</v>
      </c>
      <c r="E12" s="1" t="n">
        <v>0</v>
      </c>
      <c r="F12" s="1" t="n">
        <v>1</v>
      </c>
      <c r="G12" s="1" t="n">
        <v>5</v>
      </c>
      <c r="H12" s="1" t="n">
        <v>5</v>
      </c>
      <c r="I12" s="1" t="n">
        <v>78</v>
      </c>
      <c r="J12" s="1" t="n">
        <v>66.8</v>
      </c>
      <c r="K12" s="1" t="n">
        <v>3</v>
      </c>
      <c r="L12" s="1" t="n">
        <v>21</v>
      </c>
      <c r="M12" s="1" t="n">
        <v>0.34</v>
      </c>
      <c r="N12" s="1" t="n">
        <v>0.191</v>
      </c>
      <c r="O12" s="1" t="n">
        <v>0.7</v>
      </c>
      <c r="P12" s="1" t="n">
        <v>13</v>
      </c>
      <c r="Q12" s="1" t="n">
        <v>15.6</v>
      </c>
      <c r="R12" s="1" t="n">
        <v>0.571</v>
      </c>
    </row>
    <row r="13" customFormat="false" ht="12.75" hidden="false" customHeight="false" outlineLevel="0" collapsed="false">
      <c r="A13" s="25" t="s">
        <v>22</v>
      </c>
      <c r="B13" s="1" t="n">
        <v>0</v>
      </c>
      <c r="C13" s="1" t="n">
        <v>0.676</v>
      </c>
      <c r="D13" s="1" t="n">
        <v>9</v>
      </c>
      <c r="E13" s="1" t="n">
        <v>1</v>
      </c>
      <c r="F13" s="1" t="n">
        <v>0</v>
      </c>
      <c r="G13" s="1" t="n">
        <v>2</v>
      </c>
      <c r="H13" s="1" t="n">
        <v>2</v>
      </c>
      <c r="I13" s="1" t="n">
        <v>71.2</v>
      </c>
      <c r="J13" s="1" t="n">
        <v>64.9</v>
      </c>
      <c r="K13" s="1" t="n">
        <v>2</v>
      </c>
      <c r="L13" s="1" t="n">
        <v>12</v>
      </c>
      <c r="M13" s="1" t="n">
        <v>0.315</v>
      </c>
      <c r="N13" s="1" t="n">
        <v>0.36307311</v>
      </c>
      <c r="O13" s="1" t="n">
        <v>0.73</v>
      </c>
      <c r="P13" s="1" t="n">
        <v>15</v>
      </c>
      <c r="Q13" s="25" t="n">
        <v>9.7</v>
      </c>
      <c r="R13" s="1" t="n">
        <v>0.6</v>
      </c>
    </row>
    <row r="14" customFormat="false" ht="12.75" hidden="false" customHeight="false" outlineLevel="0" collapsed="false">
      <c r="A14" s="25" t="s">
        <v>560</v>
      </c>
      <c r="B14" s="1" t="n">
        <v>0</v>
      </c>
      <c r="C14" s="1" t="n">
        <v>0.576</v>
      </c>
      <c r="D14" s="1" t="n">
        <v>8</v>
      </c>
      <c r="E14" s="1" t="n">
        <v>1</v>
      </c>
      <c r="F14" s="1" t="n">
        <v>0</v>
      </c>
      <c r="G14" s="1" t="n">
        <v>0</v>
      </c>
      <c r="H14" s="1" t="n">
        <v>3</v>
      </c>
      <c r="I14" s="1" t="n">
        <v>61.9</v>
      </c>
      <c r="J14" s="1" t="n">
        <v>61.7</v>
      </c>
      <c r="K14" s="1" t="n">
        <v>0</v>
      </c>
      <c r="L14" s="1" t="n">
        <v>14</v>
      </c>
      <c r="M14" s="1" t="n">
        <v>0.33</v>
      </c>
      <c r="N14" s="1" t="n">
        <v>0.31277533</v>
      </c>
      <c r="O14" s="1" t="n">
        <v>0.743</v>
      </c>
      <c r="P14" s="1" t="n">
        <v>13</v>
      </c>
      <c r="Q14" s="25" t="n">
        <v>0.3</v>
      </c>
      <c r="R14" s="1" t="n">
        <v>0.777777778</v>
      </c>
    </row>
    <row r="15" customFormat="false" ht="12.75" hidden="false" customHeight="false" outlineLevel="0" collapsed="false">
      <c r="A15" s="25" t="s">
        <v>86</v>
      </c>
      <c r="B15" s="1" t="n">
        <v>2</v>
      </c>
      <c r="C15" s="1" t="n">
        <v>0.818</v>
      </c>
      <c r="D15" s="1" t="n">
        <v>7</v>
      </c>
      <c r="E15" s="1" t="n">
        <v>1</v>
      </c>
      <c r="F15" s="1" t="n">
        <v>1</v>
      </c>
      <c r="G15" s="1" t="n">
        <v>9</v>
      </c>
      <c r="H15" s="1" t="n">
        <v>2</v>
      </c>
      <c r="I15" s="1" t="n">
        <v>78.2</v>
      </c>
      <c r="J15" s="1" t="n">
        <v>65.2</v>
      </c>
      <c r="K15" s="1" t="n">
        <v>3</v>
      </c>
      <c r="L15" s="1" t="n">
        <v>14</v>
      </c>
      <c r="M15" s="1" t="n">
        <v>0.351</v>
      </c>
      <c r="N15" s="1" t="n">
        <v>0.337078652</v>
      </c>
      <c r="O15" s="1" t="n">
        <v>0.713</v>
      </c>
      <c r="P15" s="1" t="n">
        <v>17</v>
      </c>
      <c r="Q15" s="1" t="n">
        <v>18.4</v>
      </c>
      <c r="R15" s="1" t="n">
        <v>0.5</v>
      </c>
    </row>
    <row r="16" customFormat="false" ht="12.75" hidden="false" customHeight="false" outlineLevel="0" collapsed="false">
      <c r="A16" s="25" t="s">
        <v>320</v>
      </c>
      <c r="B16" s="1" t="n">
        <v>0</v>
      </c>
      <c r="C16" s="1" t="n">
        <v>0.71</v>
      </c>
      <c r="D16" s="1" t="n">
        <v>8</v>
      </c>
      <c r="E16" s="1" t="n">
        <v>0</v>
      </c>
      <c r="F16" s="1" t="n">
        <v>0</v>
      </c>
      <c r="G16" s="1" t="n">
        <v>0</v>
      </c>
      <c r="H16" s="1" t="n">
        <v>2</v>
      </c>
      <c r="I16" s="1" t="n">
        <v>72.8</v>
      </c>
      <c r="J16" s="1" t="n">
        <v>67</v>
      </c>
      <c r="K16" s="1" t="n">
        <v>0</v>
      </c>
      <c r="L16" s="1" t="n">
        <v>14.5</v>
      </c>
      <c r="M16" s="1" t="n">
        <v>0.326382593</v>
      </c>
      <c r="N16" s="1" t="n">
        <v>0.257</v>
      </c>
      <c r="O16" s="1" t="n">
        <v>0.67</v>
      </c>
      <c r="P16" s="1" t="n">
        <v>14</v>
      </c>
      <c r="Q16" s="25" t="n">
        <v>8.4</v>
      </c>
      <c r="R16" s="25" t="n">
        <v>0.833333333</v>
      </c>
    </row>
    <row r="17" customFormat="false" ht="12.75" hidden="false" customHeight="false" outlineLevel="0" collapsed="false">
      <c r="A17" s="25" t="s">
        <v>184</v>
      </c>
      <c r="B17" s="1" t="n">
        <v>0</v>
      </c>
      <c r="C17" s="1" t="n">
        <v>0.606</v>
      </c>
      <c r="D17" s="1" t="n">
        <v>4</v>
      </c>
      <c r="E17" s="1" t="n">
        <v>0</v>
      </c>
      <c r="F17" s="1" t="n">
        <v>0</v>
      </c>
      <c r="G17" s="1" t="n">
        <v>0</v>
      </c>
      <c r="H17" s="1" t="n">
        <v>0</v>
      </c>
      <c r="I17" s="1" t="n">
        <v>73.7</v>
      </c>
      <c r="J17" s="1" t="n">
        <v>70</v>
      </c>
      <c r="K17" s="1" t="n">
        <v>0</v>
      </c>
      <c r="L17" s="1" t="n">
        <v>14.1</v>
      </c>
      <c r="M17" s="1" t="n">
        <v>0.34</v>
      </c>
      <c r="N17" s="1" t="n">
        <v>0.268</v>
      </c>
      <c r="O17" s="1" t="n">
        <v>0.666</v>
      </c>
      <c r="P17" s="1" t="n">
        <v>16</v>
      </c>
      <c r="Q17" s="1" t="n">
        <v>5.2</v>
      </c>
      <c r="R17" s="25" t="n">
        <v>0.444444444</v>
      </c>
    </row>
    <row r="18" customFormat="false" ht="12.75" hidden="false" customHeight="false" outlineLevel="0" collapsed="false">
      <c r="A18" s="25" t="s">
        <v>62</v>
      </c>
      <c r="B18" s="1" t="n">
        <v>1</v>
      </c>
      <c r="C18" s="1" t="n">
        <v>0.75</v>
      </c>
      <c r="D18" s="1" t="n">
        <v>9</v>
      </c>
      <c r="E18" s="1" t="n">
        <v>1</v>
      </c>
      <c r="F18" s="1" t="n">
        <v>1</v>
      </c>
      <c r="G18" s="1" t="n">
        <v>6</v>
      </c>
      <c r="H18" s="1" t="n">
        <v>4</v>
      </c>
      <c r="I18" s="1" t="n">
        <v>76.2</v>
      </c>
      <c r="J18" s="1" t="n">
        <v>63.1</v>
      </c>
      <c r="K18" s="1" t="n">
        <v>3</v>
      </c>
      <c r="L18" s="1" t="n">
        <v>13.9</v>
      </c>
      <c r="M18" s="1" t="n">
        <v>0.308</v>
      </c>
      <c r="N18" s="1" t="n">
        <v>0.3</v>
      </c>
      <c r="O18" s="1" t="n">
        <v>0.707</v>
      </c>
      <c r="P18" s="1" t="n">
        <v>16</v>
      </c>
      <c r="Q18" s="1" t="n">
        <v>19.2</v>
      </c>
      <c r="R18" s="25" t="n">
        <v>0.5</v>
      </c>
    </row>
    <row r="19" customFormat="false" ht="12.75" hidden="false" customHeight="false" outlineLevel="0" collapsed="false">
      <c r="A19" s="25" t="s">
        <v>321</v>
      </c>
      <c r="B19" s="1" t="n">
        <v>0</v>
      </c>
      <c r="C19" s="1" t="n">
        <v>0.733</v>
      </c>
      <c r="D19" s="1" t="n">
        <v>7</v>
      </c>
      <c r="E19" s="1" t="n">
        <v>1</v>
      </c>
      <c r="F19" s="1" t="n">
        <v>0</v>
      </c>
      <c r="G19" s="1" t="n">
        <v>1</v>
      </c>
      <c r="H19" s="1" t="n">
        <v>2</v>
      </c>
      <c r="I19" s="1" t="n">
        <v>76.9</v>
      </c>
      <c r="J19" s="1" t="n">
        <v>67.4</v>
      </c>
      <c r="K19" s="1" t="n">
        <v>1</v>
      </c>
      <c r="L19" s="1" t="n">
        <v>14.9</v>
      </c>
      <c r="M19" s="1" t="n">
        <v>0.373</v>
      </c>
      <c r="N19" s="1" t="n">
        <v>0.21</v>
      </c>
      <c r="O19" s="1" t="n">
        <v>0.693</v>
      </c>
      <c r="P19" s="1" t="n">
        <v>17</v>
      </c>
      <c r="Q19" s="25" t="n">
        <v>13.5</v>
      </c>
      <c r="R19" s="1" t="n">
        <f aca="false">1/3</f>
        <v>0.3333333333</v>
      </c>
    </row>
    <row r="20" customFormat="false" ht="12.75" hidden="false" customHeight="false" outlineLevel="0" collapsed="false">
      <c r="A20" s="25" t="s">
        <v>482</v>
      </c>
      <c r="B20" s="1" t="n">
        <v>1</v>
      </c>
      <c r="C20" s="1" t="n">
        <v>0.625</v>
      </c>
      <c r="D20" s="1" t="n">
        <v>6</v>
      </c>
      <c r="E20" s="1" t="n">
        <v>0</v>
      </c>
      <c r="F20" s="1" t="n">
        <v>1</v>
      </c>
      <c r="G20" s="1" t="n">
        <v>2</v>
      </c>
      <c r="H20" s="1" t="n">
        <v>9</v>
      </c>
      <c r="I20" s="1" t="n">
        <v>74.1</v>
      </c>
      <c r="J20" s="1" t="n">
        <v>66.7</v>
      </c>
      <c r="K20" s="1" t="n">
        <v>1</v>
      </c>
      <c r="L20" s="1" t="n">
        <v>15.1</v>
      </c>
      <c r="M20" s="1" t="n">
        <v>0.347</v>
      </c>
      <c r="N20" s="1" t="n">
        <v>0.24</v>
      </c>
      <c r="O20" s="1" t="n">
        <v>0.691</v>
      </c>
      <c r="P20" s="1" t="n">
        <v>23</v>
      </c>
      <c r="Q20" s="1" t="n">
        <v>10.3</v>
      </c>
      <c r="R20" s="1" t="n">
        <f aca="false">6/11</f>
        <v>0.5454545455</v>
      </c>
    </row>
    <row r="21" customFormat="false" ht="12.75" hidden="false" customHeight="false" outlineLevel="0" collapsed="false">
      <c r="A21" s="25" t="s">
        <v>43</v>
      </c>
      <c r="B21" s="1" t="n">
        <v>1</v>
      </c>
      <c r="C21" s="1" t="n">
        <v>0.839</v>
      </c>
      <c r="D21" s="1" t="n">
        <v>10</v>
      </c>
      <c r="E21" s="1" t="n">
        <v>1</v>
      </c>
      <c r="F21" s="1" t="n">
        <v>0</v>
      </c>
      <c r="G21" s="1" t="n">
        <v>5</v>
      </c>
      <c r="H21" s="1" t="n">
        <v>2</v>
      </c>
      <c r="I21" s="1" t="n">
        <v>79.2</v>
      </c>
      <c r="J21" s="1" t="n">
        <v>69.6</v>
      </c>
      <c r="K21" s="1" t="n">
        <v>3</v>
      </c>
      <c r="L21" s="1" t="n">
        <v>13</v>
      </c>
      <c r="M21" s="1" t="n">
        <v>0.307</v>
      </c>
      <c r="N21" s="1" t="n">
        <v>0.187041565</v>
      </c>
      <c r="O21" s="1" t="n">
        <v>0.739</v>
      </c>
      <c r="P21" s="1" t="n">
        <v>14</v>
      </c>
      <c r="Q21" s="1" t="n">
        <v>13.8</v>
      </c>
      <c r="R21" s="1" t="n">
        <v>0.666666667</v>
      </c>
    </row>
    <row r="22" customFormat="false" ht="12.75" hidden="false" customHeight="false" outlineLevel="0" collapsed="false">
      <c r="A22" s="25" t="s">
        <v>363</v>
      </c>
      <c r="B22" s="1" t="n">
        <v>5</v>
      </c>
      <c r="C22" s="1" t="n">
        <v>0.949</v>
      </c>
      <c r="D22" s="1" t="n">
        <v>10</v>
      </c>
      <c r="E22" s="1" t="n">
        <v>1</v>
      </c>
      <c r="F22" s="1" t="n">
        <v>1</v>
      </c>
      <c r="G22" s="1" t="n">
        <v>12</v>
      </c>
      <c r="H22" s="1" t="n">
        <v>0</v>
      </c>
      <c r="I22" s="1" t="n">
        <v>77</v>
      </c>
      <c r="J22" s="1" t="n">
        <v>61.1</v>
      </c>
      <c r="K22" s="1" t="n">
        <v>3</v>
      </c>
      <c r="L22" s="1" t="n">
        <v>11</v>
      </c>
      <c r="M22" s="1" t="n">
        <v>0.317638266</v>
      </c>
      <c r="N22" s="1" t="n">
        <v>0.343</v>
      </c>
      <c r="O22" s="1" t="n">
        <v>0.728</v>
      </c>
      <c r="P22" s="1" t="n">
        <v>20</v>
      </c>
      <c r="Q22" s="1" t="n">
        <v>24.1</v>
      </c>
      <c r="R22" s="25" t="n">
        <v>0.5</v>
      </c>
    </row>
    <row r="23" customFormat="false" ht="12.75" hidden="false" customHeight="false" outlineLevel="0" collapsed="false">
      <c r="A23" s="25" t="s">
        <v>191</v>
      </c>
      <c r="B23" s="1" t="n">
        <v>0</v>
      </c>
      <c r="C23" s="1" t="n">
        <v>0.636</v>
      </c>
      <c r="D23" s="1" t="n">
        <v>9</v>
      </c>
      <c r="E23" s="1" t="n">
        <v>0</v>
      </c>
      <c r="F23" s="1" t="n">
        <v>1</v>
      </c>
      <c r="G23" s="1" t="n">
        <v>7</v>
      </c>
      <c r="H23" s="1" t="n">
        <v>7</v>
      </c>
      <c r="I23" s="1" t="n">
        <v>72.9</v>
      </c>
      <c r="J23" s="1" t="n">
        <v>67.3</v>
      </c>
      <c r="K23" s="1" t="n">
        <v>0</v>
      </c>
      <c r="L23" s="1" t="n">
        <v>14.4</v>
      </c>
      <c r="M23" s="1" t="n">
        <v>0.309682805</v>
      </c>
      <c r="N23" s="1" t="n">
        <v>0.261</v>
      </c>
      <c r="O23" s="1" t="n">
        <v>0.691</v>
      </c>
      <c r="P23" s="1" t="n">
        <v>12</v>
      </c>
      <c r="Q23" s="25" t="n">
        <v>8.1</v>
      </c>
      <c r="R23" s="25" t="n">
        <v>0.5</v>
      </c>
    </row>
    <row r="24" customFormat="false" ht="12.75" hidden="false" customHeight="false" outlineLevel="0" collapsed="false">
      <c r="A24" s="1" t="s">
        <v>192</v>
      </c>
      <c r="B24" s="1" t="n">
        <v>1</v>
      </c>
      <c r="C24" s="1" t="n">
        <v>0.613</v>
      </c>
      <c r="D24" s="1" t="n">
        <v>7</v>
      </c>
      <c r="E24" s="1" t="n">
        <v>0</v>
      </c>
      <c r="F24" s="1" t="n">
        <v>1</v>
      </c>
      <c r="G24" s="1" t="n">
        <v>5</v>
      </c>
      <c r="H24" s="1" t="n">
        <v>5</v>
      </c>
      <c r="I24" s="1" t="n">
        <v>68.1</v>
      </c>
      <c r="J24" s="1" t="n">
        <v>64.7</v>
      </c>
      <c r="K24" s="1" t="n">
        <v>0</v>
      </c>
      <c r="L24" s="1" t="n">
        <v>13</v>
      </c>
      <c r="M24" s="1" t="n">
        <v>0.335</v>
      </c>
      <c r="N24" s="1" t="n">
        <v>0.293</v>
      </c>
      <c r="O24" s="1" t="n">
        <v>0.682</v>
      </c>
      <c r="P24" s="1" t="n">
        <v>12</v>
      </c>
      <c r="Q24" s="1" t="n">
        <v>8.1</v>
      </c>
      <c r="R24" s="64" t="n">
        <f aca="false">4/7</f>
        <v>0.5714285714</v>
      </c>
    </row>
    <row r="25" customFormat="false" ht="12.75" hidden="false" customHeight="false" outlineLevel="0" collapsed="false">
      <c r="A25" s="25" t="s">
        <v>71</v>
      </c>
      <c r="B25" s="1" t="n">
        <v>0</v>
      </c>
      <c r="C25" s="1" t="n">
        <v>0.767</v>
      </c>
      <c r="D25" s="1" t="n">
        <v>5</v>
      </c>
      <c r="E25" s="1" t="n">
        <v>0</v>
      </c>
      <c r="F25" s="1" t="n">
        <v>1</v>
      </c>
      <c r="G25" s="1" t="n">
        <v>10</v>
      </c>
      <c r="H25" s="1" t="n">
        <v>5</v>
      </c>
      <c r="I25" s="1" t="n">
        <v>75</v>
      </c>
      <c r="J25" s="1" t="n">
        <v>65.2</v>
      </c>
      <c r="K25" s="1" t="n">
        <v>3</v>
      </c>
      <c r="L25" s="1" t="n">
        <v>14.4</v>
      </c>
      <c r="M25" s="1" t="n">
        <v>0.312</v>
      </c>
      <c r="N25" s="1" t="n">
        <v>0.263</v>
      </c>
      <c r="O25" s="1" t="n">
        <v>0.695</v>
      </c>
      <c r="P25" s="1" t="n">
        <v>21</v>
      </c>
      <c r="Q25" s="1" t="n">
        <v>14.3</v>
      </c>
      <c r="R25" s="25" t="n">
        <v>0.545454545</v>
      </c>
    </row>
    <row r="26" customFormat="false" ht="12.75" hidden="false" customHeight="false" outlineLevel="0" collapsed="false">
      <c r="A26" s="25" t="s">
        <v>24</v>
      </c>
      <c r="B26" s="1" t="n">
        <v>3</v>
      </c>
      <c r="C26" s="1" t="n">
        <v>0.824</v>
      </c>
      <c r="D26" s="1" t="n">
        <v>9</v>
      </c>
      <c r="E26" s="1" t="n">
        <v>1</v>
      </c>
      <c r="F26" s="1" t="n">
        <v>1</v>
      </c>
      <c r="G26" s="1" t="n">
        <v>6</v>
      </c>
      <c r="H26" s="1" t="n">
        <v>4</v>
      </c>
      <c r="I26" s="1" t="n">
        <v>73.6</v>
      </c>
      <c r="J26" s="1" t="n">
        <v>62.6</v>
      </c>
      <c r="K26" s="1" t="n">
        <v>3</v>
      </c>
      <c r="L26" s="1" t="n">
        <v>13.1</v>
      </c>
      <c r="M26" s="1" t="n">
        <v>0.348370927</v>
      </c>
      <c r="N26" s="1" t="n">
        <v>0.261</v>
      </c>
      <c r="O26" s="1" t="n">
        <v>0.663</v>
      </c>
      <c r="P26" s="1" t="n">
        <v>13</v>
      </c>
      <c r="Q26" s="1" t="n">
        <v>16.3</v>
      </c>
      <c r="R26" s="25" t="n">
        <v>0.857142857</v>
      </c>
    </row>
    <row r="27" customFormat="false" ht="12.75" hidden="false" customHeight="false" outlineLevel="0" collapsed="false">
      <c r="A27" s="25" t="s">
        <v>561</v>
      </c>
      <c r="B27" s="1" t="n">
        <v>0</v>
      </c>
      <c r="C27" s="1" t="n">
        <v>0.667</v>
      </c>
      <c r="D27" s="1" t="n">
        <v>7</v>
      </c>
      <c r="E27" s="1" t="n">
        <v>0</v>
      </c>
      <c r="F27" s="1" t="n">
        <v>1</v>
      </c>
      <c r="G27" s="1" t="n">
        <v>5</v>
      </c>
      <c r="H27" s="1" t="n">
        <v>5</v>
      </c>
      <c r="I27" s="1" t="n">
        <v>75.2</v>
      </c>
      <c r="J27" s="1" t="n">
        <v>71.4</v>
      </c>
      <c r="K27" s="1" t="n">
        <v>1</v>
      </c>
      <c r="L27" s="1" t="n">
        <v>13.5</v>
      </c>
      <c r="M27" s="1" t="n">
        <v>0.318140383</v>
      </c>
      <c r="N27" s="1" t="n">
        <v>0.359019264</v>
      </c>
      <c r="O27" s="1" t="n">
        <v>0.73</v>
      </c>
      <c r="P27" s="1" t="n">
        <v>16</v>
      </c>
      <c r="Q27" s="1" t="n">
        <v>5.6</v>
      </c>
      <c r="R27" s="1" t="n">
        <v>0.625</v>
      </c>
    </row>
    <row r="28" customFormat="false" ht="12.75" hidden="false" customHeight="false" outlineLevel="0" collapsed="false">
      <c r="A28" s="25" t="s">
        <v>562</v>
      </c>
      <c r="B28" s="1" t="n">
        <v>0</v>
      </c>
      <c r="C28" s="1" t="n">
        <v>0.645</v>
      </c>
      <c r="D28" s="1" t="n">
        <v>7</v>
      </c>
      <c r="E28" s="1" t="n">
        <v>1</v>
      </c>
      <c r="F28" s="1" t="n">
        <v>0</v>
      </c>
      <c r="G28" s="1" t="n">
        <v>1</v>
      </c>
      <c r="H28" s="1" t="n">
        <v>4</v>
      </c>
      <c r="I28" s="1" t="n">
        <v>72.2</v>
      </c>
      <c r="J28" s="1" t="n">
        <v>68</v>
      </c>
      <c r="K28" s="1" t="n">
        <v>1</v>
      </c>
      <c r="L28" s="1" t="n">
        <v>15.4</v>
      </c>
      <c r="M28" s="1" t="n">
        <v>0.364</v>
      </c>
      <c r="N28" s="1" t="n">
        <v>0.22</v>
      </c>
      <c r="O28" s="1" t="n">
        <v>0.659</v>
      </c>
      <c r="P28" s="1" t="n">
        <v>15</v>
      </c>
      <c r="Q28" s="1" t="n">
        <v>6</v>
      </c>
      <c r="R28" s="1" t="n">
        <v>0.75</v>
      </c>
    </row>
    <row r="29" customFormat="false" ht="12.75" hidden="false" customHeight="false" outlineLevel="0" collapsed="false">
      <c r="A29" s="25" t="s">
        <v>109</v>
      </c>
      <c r="B29" s="1" t="n">
        <v>4</v>
      </c>
      <c r="C29" s="1" t="n">
        <v>0.868</v>
      </c>
      <c r="D29" s="1" t="n">
        <v>9</v>
      </c>
      <c r="E29" s="1" t="n">
        <v>1</v>
      </c>
      <c r="F29" s="1" t="n">
        <v>1</v>
      </c>
      <c r="G29" s="1" t="n">
        <v>6</v>
      </c>
      <c r="H29" s="1" t="n">
        <v>2</v>
      </c>
      <c r="I29" s="1" t="n">
        <v>80.7</v>
      </c>
      <c r="J29" s="1" t="n">
        <v>64.1</v>
      </c>
      <c r="K29" s="1" t="n">
        <v>2</v>
      </c>
      <c r="L29" s="1" t="n">
        <v>14.1</v>
      </c>
      <c r="M29" s="1" t="n">
        <v>0.38</v>
      </c>
      <c r="N29" s="1" t="n">
        <v>0.353</v>
      </c>
      <c r="O29" s="1" t="n">
        <v>0.723</v>
      </c>
      <c r="P29" s="1" t="n">
        <v>16</v>
      </c>
      <c r="Q29" s="1" t="n">
        <v>23.7</v>
      </c>
      <c r="R29" s="1" t="n">
        <f aca="false">6/9</f>
        <v>0.6666666667</v>
      </c>
    </row>
    <row r="30" customFormat="false" ht="12.75" hidden="false" customHeight="false" outlineLevel="0" collapsed="false">
      <c r="A30" s="25" t="s">
        <v>194</v>
      </c>
      <c r="B30" s="1" t="n">
        <v>4</v>
      </c>
      <c r="C30" s="1" t="n">
        <v>0.788</v>
      </c>
      <c r="D30" s="1" t="n">
        <v>8</v>
      </c>
      <c r="E30" s="1" t="n">
        <v>0</v>
      </c>
      <c r="F30" s="1" t="n">
        <v>1</v>
      </c>
      <c r="G30" s="1" t="n">
        <v>8</v>
      </c>
      <c r="H30" s="1" t="n">
        <v>5</v>
      </c>
      <c r="I30" s="1" t="n">
        <v>78.5</v>
      </c>
      <c r="J30" s="1" t="n">
        <v>65.4</v>
      </c>
      <c r="K30" s="1" t="n">
        <v>3</v>
      </c>
      <c r="L30" s="1" t="n">
        <v>13.7</v>
      </c>
      <c r="M30" s="1" t="n">
        <v>0.38</v>
      </c>
      <c r="N30" s="1" t="n">
        <v>0.253667954</v>
      </c>
      <c r="O30" s="1" t="n">
        <v>0.777</v>
      </c>
      <c r="P30" s="1" t="n">
        <v>20</v>
      </c>
      <c r="Q30" s="1" t="n">
        <v>19.2</v>
      </c>
      <c r="R30" s="1" t="n">
        <v>0</v>
      </c>
    </row>
    <row r="31" customFormat="false" ht="12.75" hidden="false" customHeight="false" outlineLevel="0" collapsed="false">
      <c r="A31" s="25" t="s">
        <v>563</v>
      </c>
      <c r="B31" s="1" t="n">
        <v>2</v>
      </c>
      <c r="C31" s="1" t="n">
        <v>0.813</v>
      </c>
      <c r="D31" s="1" t="n">
        <v>9</v>
      </c>
      <c r="E31" s="1" t="n">
        <v>1</v>
      </c>
      <c r="F31" s="1" t="n">
        <v>0</v>
      </c>
      <c r="G31" s="1" t="n">
        <v>0</v>
      </c>
      <c r="H31" s="1" t="n">
        <v>2</v>
      </c>
      <c r="I31" s="1" t="n">
        <v>75</v>
      </c>
      <c r="J31" s="1" t="n">
        <v>64.3</v>
      </c>
      <c r="K31" s="1" t="n">
        <v>1</v>
      </c>
      <c r="L31" s="1" t="n">
        <v>14</v>
      </c>
      <c r="M31" s="1" t="n">
        <v>0.36640557</v>
      </c>
      <c r="N31" s="1" t="n">
        <v>0.356462585</v>
      </c>
      <c r="O31" s="1" t="n">
        <v>0.703</v>
      </c>
      <c r="P31" s="1" t="n">
        <v>15</v>
      </c>
      <c r="Q31" s="1" t="n">
        <v>15.5</v>
      </c>
      <c r="R31" s="1" t="n">
        <v>0.7142</v>
      </c>
    </row>
    <row r="32" customFormat="false" ht="12.75" hidden="false" customHeight="false" outlineLevel="0" collapsed="false">
      <c r="A32" s="1" t="s">
        <v>114</v>
      </c>
      <c r="B32" s="1" t="n">
        <v>0</v>
      </c>
      <c r="C32" s="1" t="n">
        <v>0.656</v>
      </c>
      <c r="D32" s="1" t="n">
        <v>6</v>
      </c>
      <c r="E32" s="1" t="n">
        <v>0</v>
      </c>
      <c r="F32" s="1" t="n">
        <v>1</v>
      </c>
      <c r="G32" s="1" t="n">
        <v>2</v>
      </c>
      <c r="H32" s="1" t="n">
        <v>7</v>
      </c>
      <c r="I32" s="1" t="n">
        <v>68</v>
      </c>
      <c r="J32" s="1" t="n">
        <v>62.9</v>
      </c>
      <c r="K32" s="1" t="n">
        <v>0</v>
      </c>
      <c r="L32" s="1" t="n">
        <v>16</v>
      </c>
      <c r="M32" s="1" t="n">
        <v>0.36</v>
      </c>
      <c r="N32" s="1" t="n">
        <v>0.349</v>
      </c>
      <c r="O32" s="1" t="n">
        <v>0.706</v>
      </c>
      <c r="P32" s="1" t="n">
        <v>14</v>
      </c>
      <c r="Q32" s="1" t="n">
        <v>7.5</v>
      </c>
      <c r="R32" s="64" t="n">
        <f aca="false">5/7</f>
        <v>0.7142857143</v>
      </c>
    </row>
    <row r="33" customFormat="false" ht="12.75" hidden="false" customHeight="false" outlineLevel="0" collapsed="false">
      <c r="A33" s="25" t="s">
        <v>425</v>
      </c>
      <c r="B33" s="1" t="n">
        <v>1</v>
      </c>
      <c r="C33" s="1" t="n">
        <v>0.676</v>
      </c>
      <c r="D33" s="1" t="n">
        <v>5</v>
      </c>
      <c r="E33" s="1" t="n">
        <v>0</v>
      </c>
      <c r="F33" s="1" t="n">
        <v>1</v>
      </c>
      <c r="G33" s="1" t="n">
        <v>1</v>
      </c>
      <c r="H33" s="1" t="n">
        <v>7</v>
      </c>
      <c r="I33" s="1" t="n">
        <v>72.5</v>
      </c>
      <c r="J33" s="1" t="n">
        <v>66</v>
      </c>
      <c r="K33" s="1" t="n">
        <v>3</v>
      </c>
      <c r="L33" s="1" t="n">
        <v>14.8</v>
      </c>
      <c r="M33" s="1" t="n">
        <v>0.404</v>
      </c>
      <c r="N33" s="1" t="n">
        <v>0.242092457</v>
      </c>
      <c r="O33" s="1" t="n">
        <v>0.665</v>
      </c>
      <c r="P33" s="1" t="n">
        <v>20</v>
      </c>
      <c r="Q33" s="1" t="n">
        <v>9.4</v>
      </c>
      <c r="R33" s="1" t="n">
        <v>0.5</v>
      </c>
    </row>
    <row r="34" customFormat="false" ht="12.75" hidden="false" customHeight="false" outlineLevel="0" collapsed="false">
      <c r="A34" s="25" t="s">
        <v>48</v>
      </c>
      <c r="B34" s="1" t="n">
        <v>0</v>
      </c>
      <c r="C34" s="1" t="n">
        <v>0.581</v>
      </c>
      <c r="D34" s="1" t="n">
        <v>7</v>
      </c>
      <c r="E34" s="1" t="n">
        <v>1</v>
      </c>
      <c r="F34" s="1" t="n">
        <v>0</v>
      </c>
      <c r="G34" s="1" t="n">
        <v>0</v>
      </c>
      <c r="H34" s="1" t="n">
        <v>2</v>
      </c>
      <c r="I34" s="1" t="n">
        <v>69.4</v>
      </c>
      <c r="J34" s="1" t="n">
        <v>68.8</v>
      </c>
      <c r="K34" s="1" t="n">
        <v>1</v>
      </c>
      <c r="L34" s="1" t="n">
        <v>17</v>
      </c>
      <c r="M34" s="1" t="n">
        <v>0.323</v>
      </c>
      <c r="N34" s="1" t="n">
        <v>0.253</v>
      </c>
      <c r="O34" s="1" t="n">
        <v>0.677</v>
      </c>
      <c r="P34" s="1" t="n">
        <v>10</v>
      </c>
      <c r="Q34" s="25" t="n">
        <v>1</v>
      </c>
      <c r="R34" s="1" t="n">
        <v>0.5</v>
      </c>
    </row>
    <row r="35" customFormat="false" ht="12.75" hidden="false" customHeight="false" outlineLevel="0" collapsed="false">
      <c r="A35" s="25" t="s">
        <v>32</v>
      </c>
      <c r="B35" s="1" t="n">
        <v>1</v>
      </c>
      <c r="C35" s="1" t="n">
        <v>0.781</v>
      </c>
      <c r="D35" s="1" t="n">
        <v>8</v>
      </c>
      <c r="E35" s="1" t="n">
        <v>0</v>
      </c>
      <c r="F35" s="1" t="n">
        <v>0</v>
      </c>
      <c r="G35" s="1" t="n">
        <v>2</v>
      </c>
      <c r="H35" s="1" t="n">
        <v>3</v>
      </c>
      <c r="I35" s="1" t="n">
        <v>69.5</v>
      </c>
      <c r="J35" s="1" t="n">
        <v>61.7</v>
      </c>
      <c r="K35" s="1" t="n">
        <v>1</v>
      </c>
      <c r="L35" s="1" t="n">
        <v>15</v>
      </c>
      <c r="M35" s="1" t="n">
        <v>0.311023622</v>
      </c>
      <c r="N35" s="1" t="n">
        <v>0.270186335</v>
      </c>
      <c r="O35" s="1" t="n">
        <v>0.707</v>
      </c>
      <c r="P35" s="1" t="n">
        <v>12</v>
      </c>
      <c r="Q35" s="1" t="n">
        <v>11.5</v>
      </c>
      <c r="R35" s="1" t="n">
        <v>0.5556</v>
      </c>
    </row>
    <row r="36" customFormat="false" ht="12.75" hidden="false" customHeight="false" outlineLevel="0" collapsed="false">
      <c r="A36" s="25" t="s">
        <v>330</v>
      </c>
      <c r="B36" s="1" t="n">
        <v>0</v>
      </c>
      <c r="C36" s="1" t="n">
        <v>0.788</v>
      </c>
      <c r="D36" s="1" t="n">
        <v>9</v>
      </c>
      <c r="E36" s="1" t="n">
        <v>1</v>
      </c>
      <c r="F36" s="1" t="n">
        <v>0</v>
      </c>
      <c r="G36" s="1" t="n">
        <v>2</v>
      </c>
      <c r="H36" s="1" t="n">
        <v>2</v>
      </c>
      <c r="I36" s="1" t="n">
        <v>75.5</v>
      </c>
      <c r="J36" s="1" t="n">
        <v>64.3</v>
      </c>
      <c r="K36" s="1" t="n">
        <v>0</v>
      </c>
      <c r="L36" s="1" t="n">
        <v>13.8</v>
      </c>
      <c r="M36" s="1" t="n">
        <v>0.335</v>
      </c>
      <c r="N36" s="1" t="n">
        <v>0.323</v>
      </c>
      <c r="O36" s="1" t="n">
        <v>0.679</v>
      </c>
      <c r="P36" s="1" t="n">
        <v>17</v>
      </c>
      <c r="Q36" s="25" t="n">
        <v>16.8</v>
      </c>
      <c r="R36" s="25" t="n">
        <v>0.333333333</v>
      </c>
    </row>
    <row r="37" customFormat="false" ht="12.75" hidden="false" customHeight="false" outlineLevel="0" collapsed="false">
      <c r="A37" s="25" t="s">
        <v>538</v>
      </c>
      <c r="B37" s="1" t="n">
        <v>0</v>
      </c>
      <c r="C37" s="1" t="n">
        <v>0.667</v>
      </c>
      <c r="D37" s="1" t="n">
        <v>6</v>
      </c>
      <c r="E37" s="1" t="n">
        <v>1</v>
      </c>
      <c r="F37" s="1" t="n">
        <v>0</v>
      </c>
      <c r="G37" s="1" t="n">
        <v>0</v>
      </c>
      <c r="H37" s="1" t="n">
        <v>1</v>
      </c>
      <c r="I37" s="1" t="n">
        <v>84.6</v>
      </c>
      <c r="J37" s="1" t="n">
        <v>78.4</v>
      </c>
      <c r="K37" s="1" t="n">
        <v>0</v>
      </c>
      <c r="L37" s="1" t="n">
        <v>12.9</v>
      </c>
      <c r="M37" s="1" t="n">
        <v>0.385749386</v>
      </c>
      <c r="N37" s="1" t="n">
        <v>0.319</v>
      </c>
      <c r="O37" s="1" t="n">
        <v>0.76</v>
      </c>
      <c r="P37" s="1" t="n">
        <v>19</v>
      </c>
      <c r="Q37" s="65" t="n">
        <v>8.5</v>
      </c>
      <c r="R37" s="25" t="n">
        <v>0.636363636</v>
      </c>
    </row>
    <row r="38" customFormat="false" ht="12.75" hidden="false" customHeight="false" outlineLevel="0" collapsed="false">
      <c r="A38" s="1" t="s">
        <v>51</v>
      </c>
      <c r="B38" s="1" t="n">
        <v>6</v>
      </c>
      <c r="C38" s="1" t="n">
        <v>0.892</v>
      </c>
      <c r="D38" s="1" t="n">
        <v>8</v>
      </c>
      <c r="E38" s="1" t="n">
        <v>0</v>
      </c>
      <c r="F38" s="1" t="n">
        <v>1</v>
      </c>
      <c r="G38" s="1" t="n">
        <v>8</v>
      </c>
      <c r="H38" s="1" t="n">
        <v>3</v>
      </c>
      <c r="I38" s="1" t="n">
        <v>88</v>
      </c>
      <c r="J38" s="1" t="n">
        <v>70.3</v>
      </c>
      <c r="K38" s="1" t="n">
        <v>1</v>
      </c>
      <c r="L38" s="1" t="n">
        <v>16</v>
      </c>
      <c r="M38" s="1" t="n">
        <v>0.394</v>
      </c>
      <c r="N38" s="1" t="n">
        <v>0.255</v>
      </c>
      <c r="O38" s="1" t="n">
        <v>0.725</v>
      </c>
      <c r="P38" s="1" t="n">
        <v>18</v>
      </c>
      <c r="Q38" s="1" t="n">
        <v>23.4</v>
      </c>
      <c r="R38" s="64" t="n">
        <f aca="false">2/3</f>
        <v>0.6666666667</v>
      </c>
    </row>
    <row r="39" customFormat="false" ht="12.75" hidden="false" customHeight="false" outlineLevel="0" collapsed="false">
      <c r="A39" s="25" t="s">
        <v>332</v>
      </c>
      <c r="B39" s="1" t="n">
        <v>2</v>
      </c>
      <c r="C39" s="1" t="n">
        <v>0.6</v>
      </c>
      <c r="D39" s="1" t="n">
        <v>6</v>
      </c>
      <c r="E39" s="1" t="n">
        <v>0</v>
      </c>
      <c r="F39" s="1" t="n">
        <v>1</v>
      </c>
      <c r="G39" s="1" t="n">
        <v>4</v>
      </c>
      <c r="H39" s="1" t="n">
        <v>8</v>
      </c>
      <c r="I39" s="1" t="n">
        <v>73.1</v>
      </c>
      <c r="J39" s="1" t="n">
        <v>66.1</v>
      </c>
      <c r="K39" s="1" t="n">
        <v>3</v>
      </c>
      <c r="L39" s="1" t="n">
        <v>18.6</v>
      </c>
      <c r="M39" s="1" t="n">
        <v>0.341</v>
      </c>
      <c r="N39" s="1" t="n">
        <v>0.345</v>
      </c>
      <c r="O39" s="1" t="n">
        <v>0.705</v>
      </c>
      <c r="P39" s="1" t="n">
        <v>16</v>
      </c>
      <c r="Q39" s="1" t="n">
        <v>10.5</v>
      </c>
      <c r="R39" s="1" t="n">
        <v>0.2</v>
      </c>
    </row>
    <row r="40" customFormat="false" ht="12.75" hidden="false" customHeight="false" outlineLevel="0" collapsed="false">
      <c r="A40" s="25" t="s">
        <v>195</v>
      </c>
      <c r="B40" s="1" t="n">
        <v>0</v>
      </c>
      <c r="C40" s="1" t="n">
        <v>0.656</v>
      </c>
      <c r="D40" s="1" t="n">
        <v>7</v>
      </c>
      <c r="E40" s="1" t="n">
        <v>0</v>
      </c>
      <c r="F40" s="1" t="n">
        <v>0</v>
      </c>
      <c r="G40" s="1" t="n">
        <v>2</v>
      </c>
      <c r="H40" s="1" t="n">
        <v>4</v>
      </c>
      <c r="I40" s="1" t="n">
        <v>72.2</v>
      </c>
      <c r="J40" s="1" t="n">
        <v>66.5</v>
      </c>
      <c r="K40" s="1" t="n">
        <v>1</v>
      </c>
      <c r="L40" s="1" t="n">
        <v>11.7</v>
      </c>
      <c r="M40" s="1" t="n">
        <v>0.331</v>
      </c>
      <c r="N40" s="1" t="n">
        <v>0.293</v>
      </c>
      <c r="O40" s="1" t="n">
        <v>0.698</v>
      </c>
      <c r="P40" s="1" t="n">
        <v>16</v>
      </c>
      <c r="Q40" s="1" t="n">
        <v>8.7</v>
      </c>
      <c r="R40" s="25" t="n">
        <v>0.5</v>
      </c>
    </row>
    <row r="41" customFormat="false" ht="12.75" hidden="false" customHeight="false" outlineLevel="0" collapsed="false">
      <c r="A41" s="1" t="s">
        <v>462</v>
      </c>
      <c r="B41" s="1" t="n">
        <v>0</v>
      </c>
      <c r="C41" s="1" t="n">
        <v>0.406</v>
      </c>
      <c r="D41" s="1" t="n">
        <v>6</v>
      </c>
      <c r="E41" s="1" t="n">
        <v>1</v>
      </c>
      <c r="F41" s="1" t="n">
        <v>0</v>
      </c>
      <c r="G41" s="1" t="n">
        <v>0</v>
      </c>
      <c r="H41" s="1" t="n">
        <v>2</v>
      </c>
      <c r="I41" s="1" t="n">
        <v>70.9</v>
      </c>
      <c r="J41" s="1" t="n">
        <v>73.5</v>
      </c>
      <c r="K41" s="1" t="n">
        <v>0</v>
      </c>
      <c r="L41" s="1" t="n">
        <v>12</v>
      </c>
      <c r="M41" s="1" t="n">
        <v>0.343</v>
      </c>
      <c r="N41" s="1" t="n">
        <v>0.265</v>
      </c>
      <c r="O41" s="1" t="n">
        <v>0.665</v>
      </c>
      <c r="P41" s="1" t="n">
        <v>11</v>
      </c>
      <c r="Q41" s="25" t="n">
        <v>-3.9</v>
      </c>
      <c r="R41" s="64" t="n">
        <v>0.625</v>
      </c>
    </row>
    <row r="42" customFormat="false" ht="12.75" hidden="false" customHeight="false" outlineLevel="0" collapsed="false">
      <c r="A42" s="25" t="s">
        <v>403</v>
      </c>
      <c r="B42" s="1" t="n">
        <v>0</v>
      </c>
      <c r="C42" s="1" t="n">
        <v>0.656</v>
      </c>
      <c r="D42" s="1" t="n">
        <v>8</v>
      </c>
      <c r="E42" s="1" t="n">
        <v>1</v>
      </c>
      <c r="F42" s="1" t="n">
        <v>0</v>
      </c>
      <c r="G42" s="1" t="n">
        <v>0</v>
      </c>
      <c r="H42" s="1" t="n">
        <v>0</v>
      </c>
      <c r="I42" s="1" t="n">
        <v>71.5</v>
      </c>
      <c r="J42" s="1" t="n">
        <v>67.9</v>
      </c>
      <c r="K42" s="1" t="n">
        <v>0</v>
      </c>
      <c r="L42" s="1" t="n">
        <v>13.2</v>
      </c>
      <c r="M42" s="1" t="n">
        <v>0.332</v>
      </c>
      <c r="N42" s="1" t="n">
        <v>0.238</v>
      </c>
      <c r="O42" s="1" t="n">
        <v>0.698</v>
      </c>
      <c r="P42" s="1" t="n">
        <v>19</v>
      </c>
      <c r="Q42" s="25" t="n">
        <v>5.4</v>
      </c>
      <c r="R42" s="25" t="n">
        <v>0.615384615</v>
      </c>
    </row>
    <row r="43" customFormat="false" ht="12.75" hidden="false" customHeight="false" outlineLevel="0" collapsed="false">
      <c r="A43" s="25" t="s">
        <v>85</v>
      </c>
      <c r="B43" s="1" t="n">
        <v>1</v>
      </c>
      <c r="C43" s="1" t="n">
        <v>0.758</v>
      </c>
      <c r="D43" s="1" t="n">
        <v>8</v>
      </c>
      <c r="E43" s="1" t="n">
        <v>1</v>
      </c>
      <c r="F43" s="1" t="n">
        <v>1</v>
      </c>
      <c r="G43" s="1" t="n">
        <v>7</v>
      </c>
      <c r="H43" s="1" t="n">
        <v>6</v>
      </c>
      <c r="I43" s="1" t="n">
        <v>75.2</v>
      </c>
      <c r="J43" s="1" t="n">
        <v>63.3</v>
      </c>
      <c r="K43" s="1" t="n">
        <v>3</v>
      </c>
      <c r="L43" s="1" t="n">
        <v>13.6</v>
      </c>
      <c r="M43" s="1" t="n">
        <v>0.365187713</v>
      </c>
      <c r="N43" s="1" t="n">
        <v>0.258</v>
      </c>
      <c r="O43" s="1" t="n">
        <v>0.69</v>
      </c>
      <c r="P43" s="1" t="n">
        <v>12</v>
      </c>
      <c r="Q43" s="25" t="n">
        <v>17.6</v>
      </c>
      <c r="R43" s="25" t="n">
        <v>0.666666667</v>
      </c>
    </row>
    <row r="44" customFormat="false" ht="12.75" hidden="false" customHeight="false" outlineLevel="0" collapsed="false">
      <c r="A44" s="1" t="s">
        <v>258</v>
      </c>
      <c r="B44" s="1" t="n">
        <v>2</v>
      </c>
      <c r="C44" s="1" t="n">
        <v>0.788</v>
      </c>
      <c r="D44" s="1" t="n">
        <v>7</v>
      </c>
      <c r="E44" s="1" t="n">
        <v>1</v>
      </c>
      <c r="F44" s="1" t="n">
        <v>1</v>
      </c>
      <c r="G44" s="1" t="n">
        <v>8</v>
      </c>
      <c r="H44" s="1" t="n">
        <v>5</v>
      </c>
      <c r="I44" s="1" t="n">
        <v>78.3</v>
      </c>
      <c r="J44" s="1" t="n">
        <v>65.2</v>
      </c>
      <c r="K44" s="1" t="n">
        <v>3</v>
      </c>
      <c r="L44" s="1" t="n">
        <v>14</v>
      </c>
      <c r="M44" s="1" t="n">
        <v>0.373</v>
      </c>
      <c r="N44" s="1" t="n">
        <v>0.278</v>
      </c>
      <c r="O44" s="1" t="n">
        <v>0.78</v>
      </c>
      <c r="P44" s="1" t="n">
        <v>18</v>
      </c>
      <c r="Q44" s="1" t="n">
        <v>19.4</v>
      </c>
      <c r="R44" s="64" t="n">
        <v>0.5</v>
      </c>
    </row>
    <row r="45" customFormat="false" ht="12.75" hidden="false" customHeight="false" outlineLevel="0" collapsed="false">
      <c r="A45" s="25" t="s">
        <v>463</v>
      </c>
      <c r="B45" s="1" t="n">
        <v>0</v>
      </c>
      <c r="C45" s="1" t="n">
        <v>0.824</v>
      </c>
      <c r="D45" s="1" t="n">
        <v>8</v>
      </c>
      <c r="E45" s="1" t="n">
        <v>1</v>
      </c>
      <c r="F45" s="1" t="n">
        <v>0</v>
      </c>
      <c r="G45" s="1" t="n">
        <v>0</v>
      </c>
      <c r="H45" s="1" t="n">
        <v>0</v>
      </c>
      <c r="I45" s="1" t="n">
        <v>71.5</v>
      </c>
      <c r="J45" s="1" t="n">
        <v>61.1</v>
      </c>
      <c r="K45" s="1" t="n">
        <v>0</v>
      </c>
      <c r="L45" s="1" t="n">
        <v>12.2</v>
      </c>
      <c r="M45" s="1" t="n">
        <v>0.338</v>
      </c>
      <c r="N45" s="1" t="n">
        <v>0.259259259</v>
      </c>
      <c r="O45" s="1" t="n">
        <v>0.699</v>
      </c>
      <c r="P45" s="1" t="n">
        <v>16</v>
      </c>
      <c r="Q45" s="25" t="n">
        <v>15.2</v>
      </c>
      <c r="R45" s="1" t="n">
        <v>0.666666667</v>
      </c>
    </row>
    <row r="46" customFormat="false" ht="12.75" hidden="false" customHeight="false" outlineLevel="0" collapsed="false">
      <c r="A46" s="25" t="s">
        <v>375</v>
      </c>
      <c r="B46" s="1" t="n">
        <v>1</v>
      </c>
      <c r="C46" s="1" t="n">
        <v>0.871</v>
      </c>
      <c r="D46" s="1" t="n">
        <v>8</v>
      </c>
      <c r="E46" s="1" t="n">
        <v>0</v>
      </c>
      <c r="F46" s="1" t="n">
        <v>0</v>
      </c>
      <c r="G46" s="1" t="n">
        <v>4</v>
      </c>
      <c r="H46" s="1" t="n">
        <v>2</v>
      </c>
      <c r="I46" s="1" t="n">
        <v>72.8</v>
      </c>
      <c r="J46" s="1" t="n">
        <v>64.9</v>
      </c>
      <c r="K46" s="1" t="n">
        <v>1</v>
      </c>
      <c r="L46" s="1" t="n">
        <v>13.7</v>
      </c>
      <c r="M46" s="1" t="n">
        <v>0.349</v>
      </c>
      <c r="N46" s="1" t="n">
        <v>0.267</v>
      </c>
      <c r="O46" s="1" t="n">
        <v>0.743</v>
      </c>
      <c r="P46" s="1" t="n">
        <v>16</v>
      </c>
      <c r="Q46" s="1" t="n">
        <v>12.2</v>
      </c>
      <c r="R46" s="1" t="n">
        <f aca="false">6/7</f>
        <v>0.8571428571</v>
      </c>
    </row>
    <row r="47" customFormat="false" ht="12.75" hidden="false" customHeight="false" outlineLevel="0" collapsed="false">
      <c r="A47" s="25" t="s">
        <v>539</v>
      </c>
      <c r="B47" s="1" t="n">
        <v>0</v>
      </c>
      <c r="C47" s="1" t="n">
        <v>0.69</v>
      </c>
      <c r="D47" s="1" t="n">
        <v>8</v>
      </c>
      <c r="E47" s="1" t="n">
        <v>1</v>
      </c>
      <c r="F47" s="1" t="n">
        <v>0</v>
      </c>
      <c r="G47" s="1" t="n">
        <v>1</v>
      </c>
      <c r="H47" s="1" t="n">
        <v>2</v>
      </c>
      <c r="I47" s="1" t="n">
        <v>68.3</v>
      </c>
      <c r="J47" s="1" t="n">
        <v>61.7</v>
      </c>
      <c r="K47" s="1" t="n">
        <v>2</v>
      </c>
      <c r="L47" s="1" t="n">
        <v>16</v>
      </c>
      <c r="M47" s="1" t="n">
        <v>0.333948339</v>
      </c>
      <c r="N47" s="1" t="n">
        <v>0.341030195</v>
      </c>
      <c r="O47" s="1" t="n">
        <v>0.659</v>
      </c>
      <c r="P47" s="1" t="n">
        <v>17</v>
      </c>
      <c r="Q47" s="1" t="n">
        <v>9.8</v>
      </c>
      <c r="R47" s="1" t="n">
        <v>0</v>
      </c>
    </row>
    <row r="48" customFormat="false" ht="12.75" hidden="false" customHeight="false" outlineLevel="0" collapsed="false">
      <c r="A48" s="25" t="s">
        <v>197</v>
      </c>
      <c r="B48" s="1" t="n">
        <v>0</v>
      </c>
      <c r="C48" s="1" t="n">
        <v>0.69</v>
      </c>
      <c r="D48" s="1" t="n">
        <v>5</v>
      </c>
      <c r="E48" s="1" t="n">
        <v>0</v>
      </c>
      <c r="F48" s="1" t="n">
        <v>1</v>
      </c>
      <c r="G48" s="1" t="n">
        <v>4</v>
      </c>
      <c r="H48" s="1" t="n">
        <v>6</v>
      </c>
      <c r="I48" s="1" t="n">
        <v>72.3</v>
      </c>
      <c r="J48" s="1" t="n">
        <v>63.5</v>
      </c>
      <c r="K48" s="1" t="n">
        <v>3</v>
      </c>
      <c r="L48" s="1" t="n">
        <v>14.4</v>
      </c>
      <c r="M48" s="1" t="n">
        <v>0.437</v>
      </c>
      <c r="N48" s="1" t="n">
        <v>0.25</v>
      </c>
      <c r="O48" s="1" t="n">
        <v>0.659</v>
      </c>
      <c r="P48" s="1" t="n">
        <v>16</v>
      </c>
      <c r="Q48" s="1" t="n">
        <v>13.4</v>
      </c>
      <c r="R48" s="1" t="n">
        <v>0.5</v>
      </c>
    </row>
    <row r="49" customFormat="false" ht="12.75" hidden="false" customHeight="false" outlineLevel="0" collapsed="false">
      <c r="A49" s="1" t="s">
        <v>564</v>
      </c>
      <c r="B49" s="1" t="n">
        <v>0</v>
      </c>
      <c r="C49" s="1" t="n">
        <v>0.735</v>
      </c>
      <c r="D49" s="1" t="n">
        <v>7</v>
      </c>
      <c r="E49" s="1" t="n">
        <v>0</v>
      </c>
      <c r="F49" s="1" t="n">
        <v>0</v>
      </c>
      <c r="G49" s="1" t="n">
        <v>1</v>
      </c>
      <c r="H49" s="1" t="n">
        <v>3</v>
      </c>
      <c r="I49" s="1" t="n">
        <v>69.8</v>
      </c>
      <c r="J49" s="1" t="n">
        <v>64.1</v>
      </c>
      <c r="K49" s="1" t="n">
        <v>0</v>
      </c>
      <c r="L49" s="1" t="n">
        <v>16</v>
      </c>
      <c r="M49" s="1" t="n">
        <v>0.375</v>
      </c>
      <c r="N49" s="1" t="n">
        <v>0.295</v>
      </c>
      <c r="O49" s="1" t="n">
        <v>0.725</v>
      </c>
      <c r="P49" s="1" t="n">
        <v>15</v>
      </c>
      <c r="Q49" s="1" t="n">
        <v>8.5</v>
      </c>
      <c r="R49" s="25" t="n">
        <v>0.777777778</v>
      </c>
    </row>
    <row r="50" customFormat="false" ht="12.75" hidden="false" customHeight="false" outlineLevel="0" collapsed="false">
      <c r="A50" s="1" t="s">
        <v>565</v>
      </c>
      <c r="B50" s="1" t="n">
        <v>0</v>
      </c>
      <c r="C50" s="1" t="n">
        <v>0.727</v>
      </c>
      <c r="D50" s="1" t="n">
        <v>8</v>
      </c>
      <c r="E50" s="1" t="n">
        <v>1</v>
      </c>
      <c r="F50" s="1" t="n">
        <v>0</v>
      </c>
      <c r="G50" s="1" t="n">
        <v>0</v>
      </c>
      <c r="H50" s="1" t="n">
        <v>0</v>
      </c>
      <c r="I50" s="1" t="n">
        <v>63.2</v>
      </c>
      <c r="J50" s="1" t="n">
        <v>55.8</v>
      </c>
      <c r="K50" s="1" t="n">
        <v>0</v>
      </c>
      <c r="L50" s="1" t="n">
        <v>14</v>
      </c>
      <c r="M50" s="1" t="n">
        <v>0.339</v>
      </c>
      <c r="N50" s="1" t="n">
        <v>0.168</v>
      </c>
      <c r="O50" s="1" t="n">
        <v>0.647</v>
      </c>
      <c r="P50" s="1" t="n">
        <v>14</v>
      </c>
      <c r="Q50" s="1" t="n">
        <v>11.7</v>
      </c>
      <c r="R50" s="64" t="n">
        <v>0.555555556</v>
      </c>
    </row>
    <row r="51" customFormat="false" ht="12.75" hidden="false" customHeight="false" outlineLevel="0" collapsed="false">
      <c r="A51" s="1" t="s">
        <v>552</v>
      </c>
      <c r="B51" s="1" t="n">
        <v>1</v>
      </c>
      <c r="C51" s="1" t="n">
        <v>0.771</v>
      </c>
      <c r="D51" s="1" t="n">
        <v>9</v>
      </c>
      <c r="E51" s="1" t="n">
        <v>0</v>
      </c>
      <c r="F51" s="1" t="n">
        <v>0</v>
      </c>
      <c r="G51" s="1" t="n">
        <v>4</v>
      </c>
      <c r="H51" s="1" t="n">
        <v>2</v>
      </c>
      <c r="I51" s="1" t="n">
        <v>67</v>
      </c>
      <c r="J51" s="1" t="n">
        <v>60.7</v>
      </c>
      <c r="K51" s="1" t="n">
        <v>3</v>
      </c>
      <c r="L51" s="1" t="n">
        <v>13</v>
      </c>
      <c r="M51" s="1" t="n">
        <v>0.369</v>
      </c>
      <c r="N51" s="1" t="n">
        <v>0.256236786</v>
      </c>
      <c r="O51" s="1" t="n">
        <v>0.748</v>
      </c>
      <c r="P51" s="1" t="n">
        <v>19</v>
      </c>
      <c r="Q51" s="1" t="n">
        <v>10.7</v>
      </c>
      <c r="R51" s="1" t="n">
        <v>0.5</v>
      </c>
    </row>
    <row r="52" customFormat="false" ht="12.75" hidden="false" customHeight="false" outlineLevel="0" collapsed="false">
      <c r="A52" s="25" t="s">
        <v>335</v>
      </c>
      <c r="B52" s="1" t="n">
        <v>0</v>
      </c>
      <c r="C52" s="1" t="n">
        <v>0.581</v>
      </c>
      <c r="D52" s="1" t="n">
        <v>6</v>
      </c>
      <c r="E52" s="1" t="n">
        <v>0</v>
      </c>
      <c r="F52" s="1" t="n">
        <v>1</v>
      </c>
      <c r="G52" s="1" t="n">
        <v>5</v>
      </c>
      <c r="H52" s="1" t="n">
        <v>5</v>
      </c>
      <c r="I52" s="1" t="n">
        <v>70.1</v>
      </c>
      <c r="J52" s="1" t="n">
        <v>68.8</v>
      </c>
      <c r="K52" s="1" t="n">
        <v>3</v>
      </c>
      <c r="L52" s="1" t="n">
        <v>13.8</v>
      </c>
      <c r="M52" s="1" t="n">
        <v>0.347</v>
      </c>
      <c r="N52" s="1" t="n">
        <v>0.171191901</v>
      </c>
      <c r="O52" s="1" t="n">
        <v>0.739</v>
      </c>
      <c r="P52" s="1" t="n">
        <v>18</v>
      </c>
      <c r="Q52" s="1" t="n">
        <v>1.9</v>
      </c>
      <c r="R52" s="1" t="n">
        <v>0.571428571</v>
      </c>
    </row>
    <row r="53" customFormat="false" ht="12" hidden="false" customHeight="true" outlineLevel="0" collapsed="false">
      <c r="A53" s="25" t="s">
        <v>566</v>
      </c>
      <c r="B53" s="1" t="n">
        <v>0</v>
      </c>
      <c r="C53" s="1" t="n">
        <v>0.794</v>
      </c>
      <c r="D53" s="1" t="n">
        <v>6</v>
      </c>
      <c r="E53" s="1" t="n">
        <v>1</v>
      </c>
      <c r="F53" s="1" t="n">
        <v>1</v>
      </c>
      <c r="G53" s="1" t="n">
        <v>5</v>
      </c>
      <c r="H53" s="1" t="n">
        <v>6</v>
      </c>
      <c r="I53" s="1" t="n">
        <v>74.9</v>
      </c>
      <c r="J53" s="1" t="n">
        <v>64.6</v>
      </c>
      <c r="K53" s="1" t="n">
        <v>2</v>
      </c>
      <c r="L53" s="1" t="n">
        <v>13.7</v>
      </c>
      <c r="M53" s="1" t="n">
        <v>0.407</v>
      </c>
      <c r="N53" s="1" t="n">
        <v>0.183673469</v>
      </c>
      <c r="O53" s="1" t="n">
        <v>0.667</v>
      </c>
      <c r="P53" s="1" t="n">
        <v>19</v>
      </c>
      <c r="Q53" s="1" t="n">
        <v>15.3</v>
      </c>
      <c r="R53" s="1" t="n">
        <v>0.666666667</v>
      </c>
    </row>
    <row r="54" customFormat="false" ht="12.75" hidden="false" customHeight="false" outlineLevel="0" collapsed="false">
      <c r="A54" s="25" t="s">
        <v>33</v>
      </c>
      <c r="B54" s="1" t="n">
        <v>0</v>
      </c>
      <c r="C54" s="1" t="n">
        <v>0.645</v>
      </c>
      <c r="D54" s="1" t="n">
        <v>8</v>
      </c>
      <c r="E54" s="1" t="n">
        <v>0</v>
      </c>
      <c r="F54" s="1" t="n">
        <v>1</v>
      </c>
      <c r="G54" s="1" t="n">
        <v>3</v>
      </c>
      <c r="H54" s="1" t="n">
        <v>7</v>
      </c>
      <c r="I54" s="1" t="n">
        <v>76.9</v>
      </c>
      <c r="J54" s="1" t="n">
        <v>68.5</v>
      </c>
      <c r="K54" s="1" t="n">
        <v>3</v>
      </c>
      <c r="L54" s="1" t="n">
        <v>14</v>
      </c>
      <c r="M54" s="1" t="n">
        <v>0.340390879</v>
      </c>
      <c r="N54" s="1" t="n">
        <v>0.305</v>
      </c>
      <c r="O54" s="1" t="n">
        <v>0.697</v>
      </c>
      <c r="P54" s="1" t="n">
        <v>17</v>
      </c>
      <c r="Q54" s="1" t="n">
        <v>12</v>
      </c>
      <c r="R54" s="25" t="n">
        <v>0.285714286</v>
      </c>
    </row>
    <row r="55" customFormat="false" ht="12.75" hidden="false" customHeight="false" outlineLevel="0" collapsed="false">
      <c r="A55" s="25" t="s">
        <v>65</v>
      </c>
      <c r="B55" s="1" t="n">
        <v>2</v>
      </c>
      <c r="C55" s="1" t="n">
        <v>0.667</v>
      </c>
      <c r="D55" s="1" t="n">
        <v>7</v>
      </c>
      <c r="E55" s="1" t="n">
        <v>0</v>
      </c>
      <c r="F55" s="1" t="n">
        <v>1</v>
      </c>
      <c r="G55" s="1" t="n">
        <v>6</v>
      </c>
      <c r="H55" s="1" t="n">
        <v>7</v>
      </c>
      <c r="I55" s="1" t="n">
        <v>76.8</v>
      </c>
      <c r="J55" s="1" t="n">
        <v>69.3</v>
      </c>
      <c r="K55" s="1" t="n">
        <v>2</v>
      </c>
      <c r="L55" s="1" t="n">
        <v>13.7</v>
      </c>
      <c r="M55" s="1" t="n">
        <v>0.322</v>
      </c>
      <c r="N55" s="1" t="n">
        <v>0.226</v>
      </c>
      <c r="O55" s="1" t="n">
        <v>0.756</v>
      </c>
      <c r="P55" s="1" t="n">
        <v>13</v>
      </c>
      <c r="Q55" s="1" t="n">
        <v>10.5</v>
      </c>
      <c r="R55" s="1" t="n">
        <v>0.4</v>
      </c>
    </row>
    <row r="56" customFormat="false" ht="12.75" hidden="false" customHeight="false" outlineLevel="0" collapsed="false">
      <c r="A56" s="25" t="s">
        <v>567</v>
      </c>
      <c r="B56" s="1" t="n">
        <v>0</v>
      </c>
      <c r="C56" s="1" t="n">
        <v>0.771</v>
      </c>
      <c r="D56" s="1" t="n">
        <v>8</v>
      </c>
      <c r="E56" s="1" t="n">
        <v>1</v>
      </c>
      <c r="F56" s="1" t="n">
        <v>0</v>
      </c>
      <c r="G56" s="1" t="n">
        <v>2</v>
      </c>
      <c r="H56" s="1" t="n">
        <v>4</v>
      </c>
      <c r="I56" s="1" t="n">
        <v>74.7</v>
      </c>
      <c r="J56" s="1" t="n">
        <v>65.1</v>
      </c>
      <c r="K56" s="1" t="n">
        <v>1</v>
      </c>
      <c r="L56" s="1" t="n">
        <v>12.2</v>
      </c>
      <c r="M56" s="1" t="n">
        <v>0.336</v>
      </c>
      <c r="N56" s="1" t="n">
        <v>0.238897397</v>
      </c>
      <c r="O56" s="1" t="n">
        <v>0.792</v>
      </c>
      <c r="P56" s="1" t="n">
        <v>13</v>
      </c>
      <c r="Q56" s="1" t="n">
        <v>14.3</v>
      </c>
      <c r="R56" s="1" t="n">
        <v>0.444444444</v>
      </c>
    </row>
    <row r="57" customFormat="false" ht="12.75" hidden="false" customHeight="false" outlineLevel="0" collapsed="false">
      <c r="A57" s="65" t="s">
        <v>64</v>
      </c>
      <c r="B57" s="1" t="n">
        <v>0</v>
      </c>
      <c r="C57" s="1" t="n">
        <v>0.621</v>
      </c>
      <c r="D57" s="1" t="n">
        <v>6</v>
      </c>
      <c r="E57" s="1" t="n">
        <v>0</v>
      </c>
      <c r="F57" s="1" t="n">
        <v>1</v>
      </c>
      <c r="G57" s="1" t="n">
        <v>1</v>
      </c>
      <c r="H57" s="1" t="n">
        <v>6</v>
      </c>
      <c r="I57" s="1" t="n">
        <v>73.7</v>
      </c>
      <c r="J57" s="1" t="n">
        <v>71.7</v>
      </c>
      <c r="K57" s="1" t="n">
        <v>1</v>
      </c>
      <c r="L57" s="1" t="n">
        <v>16</v>
      </c>
      <c r="M57" s="1" t="n">
        <v>0.321</v>
      </c>
      <c r="N57" s="1" t="n">
        <v>0.260991581</v>
      </c>
      <c r="O57" s="1" t="n">
        <v>0.719</v>
      </c>
      <c r="P57" s="1" t="n">
        <v>13</v>
      </c>
      <c r="Q57" s="25" t="n">
        <v>2.9</v>
      </c>
      <c r="R57" s="1" t="n">
        <v>0.75</v>
      </c>
    </row>
    <row r="58" customFormat="false" ht="12.75" hidden="false" customHeight="false" outlineLevel="0" collapsed="false">
      <c r="A58" s="25" t="s">
        <v>568</v>
      </c>
      <c r="B58" s="1" t="n">
        <v>2</v>
      </c>
      <c r="C58" s="1" t="n">
        <v>0.829</v>
      </c>
      <c r="D58" s="1" t="n">
        <v>8</v>
      </c>
      <c r="E58" s="1" t="n">
        <v>0</v>
      </c>
      <c r="F58" s="1" t="n">
        <v>0</v>
      </c>
      <c r="G58" s="1" t="n">
        <v>2</v>
      </c>
      <c r="H58" s="1" t="n">
        <v>5</v>
      </c>
      <c r="I58" s="1" t="n">
        <v>68</v>
      </c>
      <c r="J58" s="1" t="n">
        <v>57</v>
      </c>
      <c r="K58" s="1" t="n">
        <v>3</v>
      </c>
      <c r="L58" s="1" t="n">
        <v>14.4</v>
      </c>
      <c r="M58" s="1" t="n">
        <v>0.404</v>
      </c>
      <c r="N58" s="1" t="n">
        <v>0.195460277</v>
      </c>
      <c r="O58" s="1" t="n">
        <v>0.715</v>
      </c>
      <c r="P58" s="1" t="n">
        <v>12</v>
      </c>
      <c r="Q58" s="1" t="n">
        <v>17.7</v>
      </c>
      <c r="R58" s="1" t="n">
        <v>0.333333333</v>
      </c>
    </row>
    <row r="59" customFormat="false" ht="12.75" hidden="false" customHeight="false" outlineLevel="0" collapsed="false">
      <c r="A59" s="25" t="s">
        <v>471</v>
      </c>
      <c r="B59" s="1" t="n">
        <v>0</v>
      </c>
      <c r="C59" s="1" t="n">
        <v>0.75</v>
      </c>
      <c r="D59" s="1" t="n">
        <v>7</v>
      </c>
      <c r="E59" s="1" t="n">
        <v>1</v>
      </c>
      <c r="F59" s="1" t="n">
        <v>0</v>
      </c>
      <c r="G59" s="1" t="n">
        <v>2</v>
      </c>
      <c r="H59" s="1" t="n">
        <v>3</v>
      </c>
      <c r="I59" s="1" t="n">
        <v>72.3</v>
      </c>
      <c r="J59" s="1" t="n">
        <v>57.8</v>
      </c>
      <c r="K59" s="1" t="n">
        <v>1</v>
      </c>
      <c r="L59" s="1" t="n">
        <v>12.4</v>
      </c>
      <c r="M59" s="1" t="n">
        <v>0.280365297</v>
      </c>
      <c r="N59" s="1" t="n">
        <v>0.391120507</v>
      </c>
      <c r="O59" s="1" t="n">
        <v>0.691</v>
      </c>
      <c r="P59" s="1" t="n">
        <v>12</v>
      </c>
      <c r="Q59" s="1" t="n">
        <v>23.4</v>
      </c>
      <c r="R59" s="1" t="n">
        <v>0</v>
      </c>
    </row>
    <row r="60" customFormat="false" ht="12.75" hidden="false" customHeight="false" outlineLevel="0" collapsed="false">
      <c r="A60" s="25" t="s">
        <v>134</v>
      </c>
      <c r="B60" s="1" t="n">
        <v>1</v>
      </c>
      <c r="C60" s="1" t="n">
        <v>0.781</v>
      </c>
      <c r="D60" s="1" t="n">
        <v>7</v>
      </c>
      <c r="E60" s="1" t="n">
        <v>1</v>
      </c>
      <c r="F60" s="1" t="n">
        <v>0</v>
      </c>
      <c r="G60" s="1" t="n">
        <v>0</v>
      </c>
      <c r="H60" s="1" t="n">
        <v>3</v>
      </c>
      <c r="I60" s="1" t="n">
        <v>71.8</v>
      </c>
      <c r="J60" s="1" t="n">
        <v>62.1</v>
      </c>
      <c r="K60" s="1" t="n">
        <v>2</v>
      </c>
      <c r="L60" s="1" t="n">
        <v>11.9</v>
      </c>
      <c r="M60" s="1" t="n">
        <v>0.347</v>
      </c>
      <c r="N60" s="1" t="n">
        <v>0.351022184</v>
      </c>
      <c r="O60" s="1" t="n">
        <v>0.722</v>
      </c>
      <c r="P60" s="1" t="n">
        <v>18</v>
      </c>
      <c r="Q60" s="1" t="n">
        <v>14.8</v>
      </c>
      <c r="R60" s="1" t="n">
        <v>0.8</v>
      </c>
    </row>
    <row r="61" customFormat="false" ht="12.75" hidden="false" customHeight="false" outlineLevel="0" collapsed="false">
      <c r="A61" s="1" t="s">
        <v>135</v>
      </c>
      <c r="B61" s="1" t="n">
        <v>2</v>
      </c>
      <c r="C61" s="1" t="n">
        <v>0.75</v>
      </c>
      <c r="D61" s="1" t="n">
        <v>8</v>
      </c>
      <c r="E61" s="1" t="n">
        <v>0</v>
      </c>
      <c r="F61" s="1" t="n">
        <v>1</v>
      </c>
      <c r="G61" s="1" t="n">
        <v>7</v>
      </c>
      <c r="H61" s="1" t="n">
        <v>4</v>
      </c>
      <c r="I61" s="1" t="n">
        <v>73</v>
      </c>
      <c r="J61" s="1" t="n">
        <v>62.4</v>
      </c>
      <c r="K61" s="1" t="n">
        <v>0</v>
      </c>
      <c r="L61" s="1" t="n">
        <v>13</v>
      </c>
      <c r="M61" s="1" t="n">
        <v>0.412</v>
      </c>
      <c r="N61" s="1" t="n">
        <v>0.359</v>
      </c>
      <c r="O61" s="1" t="n">
        <v>0.736</v>
      </c>
      <c r="P61" s="1" t="n">
        <v>14</v>
      </c>
      <c r="Q61" s="1" t="n">
        <v>5</v>
      </c>
      <c r="R61" s="64" t="n">
        <v>0.375</v>
      </c>
    </row>
    <row r="62" customFormat="false" ht="12.75" hidden="false" customHeight="false" outlineLevel="0" collapsed="false">
      <c r="A62" s="25" t="s">
        <v>136</v>
      </c>
      <c r="B62" s="1" t="n">
        <v>1</v>
      </c>
      <c r="C62" s="1" t="n">
        <v>0.818</v>
      </c>
      <c r="D62" s="1" t="n">
        <v>8</v>
      </c>
      <c r="E62" s="1" t="n">
        <v>0</v>
      </c>
      <c r="F62" s="1" t="n">
        <v>1</v>
      </c>
      <c r="G62" s="1" t="n">
        <v>8</v>
      </c>
      <c r="H62" s="1" t="n">
        <v>4</v>
      </c>
      <c r="I62" s="1" t="n">
        <v>84.9</v>
      </c>
      <c r="J62" s="1" t="n">
        <v>74</v>
      </c>
      <c r="K62" s="1" t="n">
        <v>3</v>
      </c>
      <c r="L62" s="1" t="n">
        <v>15</v>
      </c>
      <c r="M62" s="1" t="n">
        <v>0.352</v>
      </c>
      <c r="N62" s="1" t="n">
        <v>0.26883256</v>
      </c>
      <c r="O62" s="1" t="n">
        <v>0.684</v>
      </c>
      <c r="P62" s="1" t="n">
        <v>20</v>
      </c>
      <c r="Q62" s="1" t="n">
        <v>15</v>
      </c>
      <c r="R62" s="1" t="n">
        <v>0.875</v>
      </c>
    </row>
    <row r="63" customFormat="false" ht="12.75" hidden="false" customHeight="false" outlineLevel="0" collapsed="false">
      <c r="A63" s="25" t="s">
        <v>472</v>
      </c>
      <c r="B63" s="1" t="n">
        <v>2</v>
      </c>
      <c r="C63" s="1" t="n">
        <v>0.829</v>
      </c>
      <c r="D63" s="1" t="n">
        <v>8</v>
      </c>
      <c r="E63" s="1" t="n">
        <v>1</v>
      </c>
      <c r="F63" s="1" t="n">
        <v>1</v>
      </c>
      <c r="G63" s="1" t="n">
        <v>9</v>
      </c>
      <c r="H63" s="1" t="n">
        <v>4</v>
      </c>
      <c r="I63" s="1" t="n">
        <v>86.5</v>
      </c>
      <c r="J63" s="1" t="n">
        <v>74.2</v>
      </c>
      <c r="K63" s="1" t="n">
        <v>1</v>
      </c>
      <c r="L63" s="1" t="n">
        <v>14.3</v>
      </c>
      <c r="M63" s="1" t="n">
        <v>0.414</v>
      </c>
      <c r="N63" s="1" t="n">
        <v>0.254</v>
      </c>
      <c r="O63" s="1" t="n">
        <v>0.733</v>
      </c>
      <c r="P63" s="1" t="n">
        <v>19</v>
      </c>
      <c r="Q63" s="1" t="n">
        <v>16.5</v>
      </c>
      <c r="R63" s="1" t="n">
        <v>1</v>
      </c>
    </row>
    <row r="64" customFormat="false" ht="12.75" hidden="false" customHeight="false" outlineLevel="0" collapsed="false">
      <c r="A64" s="25" t="s">
        <v>58</v>
      </c>
      <c r="B64" s="1" t="n">
        <v>3</v>
      </c>
      <c r="C64" s="1" t="n">
        <v>0.686</v>
      </c>
      <c r="D64" s="1" t="n">
        <v>7</v>
      </c>
      <c r="E64" s="1" t="n">
        <v>0</v>
      </c>
      <c r="F64" s="1" t="n">
        <v>1</v>
      </c>
      <c r="G64" s="1" t="n">
        <v>7</v>
      </c>
      <c r="H64" s="1" t="n">
        <v>6</v>
      </c>
      <c r="I64" s="1" t="n">
        <v>71.5</v>
      </c>
      <c r="J64" s="1" t="n">
        <v>67.3</v>
      </c>
      <c r="K64" s="1" t="n">
        <v>0</v>
      </c>
      <c r="L64" s="1" t="n">
        <v>12</v>
      </c>
      <c r="M64" s="1" t="n">
        <v>0.323</v>
      </c>
      <c r="N64" s="1" t="n">
        <v>0.382646941</v>
      </c>
      <c r="O64" s="1" t="n">
        <v>0.742</v>
      </c>
      <c r="P64" s="1" t="n">
        <v>18</v>
      </c>
      <c r="Q64" s="25" t="n">
        <v>6.4</v>
      </c>
      <c r="R64" s="1" t="n">
        <v>0.833333333</v>
      </c>
    </row>
    <row r="65" customFormat="false" ht="12.75" hidden="false" customHeight="false" outlineLevel="0" collapsed="false">
      <c r="A65" s="25" t="s">
        <v>137</v>
      </c>
      <c r="B65" s="1" t="n">
        <v>0</v>
      </c>
      <c r="C65" s="1" t="n">
        <v>0.818</v>
      </c>
      <c r="D65" s="1" t="n">
        <v>10</v>
      </c>
      <c r="E65" s="1" t="n">
        <v>1</v>
      </c>
      <c r="F65" s="1" t="n">
        <v>0</v>
      </c>
      <c r="G65" s="1" t="n">
        <v>0</v>
      </c>
      <c r="H65" s="1" t="n">
        <v>0</v>
      </c>
      <c r="I65" s="1" t="n">
        <v>68</v>
      </c>
      <c r="J65" s="1" t="n">
        <v>59.4</v>
      </c>
      <c r="K65" s="1" t="n">
        <v>1</v>
      </c>
      <c r="L65" s="1" t="n">
        <v>14</v>
      </c>
      <c r="M65" s="1" t="n">
        <v>0.323</v>
      </c>
      <c r="N65" s="1" t="n">
        <v>0.293986637</v>
      </c>
      <c r="O65" s="1" t="n">
        <v>0.677</v>
      </c>
      <c r="P65" s="1" t="n">
        <v>12</v>
      </c>
      <c r="Q65" s="25" t="n">
        <v>13.3</v>
      </c>
      <c r="R65" s="1" t="n">
        <v>1</v>
      </c>
    </row>
    <row r="66" customFormat="false" ht="12.75" hidden="false" customHeight="false" outlineLevel="0" collapsed="false">
      <c r="A66" s="25" t="s">
        <v>138</v>
      </c>
      <c r="B66" s="1" t="n">
        <v>3</v>
      </c>
      <c r="C66" s="1" t="n">
        <v>0.735</v>
      </c>
      <c r="D66" s="1" t="n">
        <v>7</v>
      </c>
      <c r="E66" s="1" t="n">
        <v>0</v>
      </c>
      <c r="F66" s="1" t="n">
        <v>1</v>
      </c>
      <c r="G66" s="1" t="n">
        <v>6</v>
      </c>
      <c r="H66" s="1" t="n">
        <v>5</v>
      </c>
      <c r="I66" s="1" t="n">
        <v>67.4</v>
      </c>
      <c r="J66" s="1" t="n">
        <v>60.2</v>
      </c>
      <c r="K66" s="1" t="n">
        <v>3</v>
      </c>
      <c r="L66" s="1" t="n">
        <v>11.4</v>
      </c>
      <c r="M66" s="1" t="n">
        <v>0.299</v>
      </c>
      <c r="N66" s="1" t="n">
        <v>0.327</v>
      </c>
      <c r="O66" s="1" t="n">
        <v>0.677</v>
      </c>
      <c r="P66" s="1" t="n">
        <v>18</v>
      </c>
      <c r="Q66" s="1" t="n">
        <v>11.3</v>
      </c>
      <c r="R66" s="25" t="n"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RowHeight="12.75" zeroHeight="false" outlineLevelRow="0" outlineLevelCol="0"/>
  <cols>
    <col collapsed="false" customWidth="true" hidden="false" outlineLevel="0" max="1" min="1" style="0" width="23.29"/>
    <col collapsed="false" customWidth="true" hidden="false" outlineLevel="0" max="20" min="2" style="0" width="17.29"/>
    <col collapsed="false" customWidth="true" hidden="false" outlineLevel="0" max="1025" min="21" style="0" width="14.43"/>
  </cols>
  <sheetData>
    <row r="1" customFormat="false" ht="12.75" hidden="false" customHeight="false" outlineLevel="0" collapsed="false">
      <c r="A1" s="1" t="s">
        <v>2</v>
      </c>
      <c r="B1" s="1" t="s">
        <v>213</v>
      </c>
      <c r="C1" s="3"/>
      <c r="D1" s="1" t="s">
        <v>473</v>
      </c>
      <c r="E1" s="1" t="s">
        <v>498</v>
      </c>
      <c r="F1" s="1" t="s">
        <v>442</v>
      </c>
      <c r="G1" s="1" t="s">
        <v>443</v>
      </c>
      <c r="H1" s="1" t="s">
        <v>444</v>
      </c>
      <c r="I1" s="1" t="s">
        <v>445</v>
      </c>
      <c r="J1" s="1" t="s">
        <v>474</v>
      </c>
      <c r="K1" s="1" t="s">
        <v>475</v>
      </c>
      <c r="L1" s="1" t="s">
        <v>446</v>
      </c>
      <c r="M1" s="1" t="s">
        <v>447</v>
      </c>
      <c r="N1" s="1" t="s">
        <v>448</v>
      </c>
      <c r="O1" s="1" t="s">
        <v>476</v>
      </c>
      <c r="P1" s="1" t="s">
        <v>16</v>
      </c>
      <c r="Q1" s="1" t="s">
        <v>451</v>
      </c>
      <c r="R1" s="1" t="s">
        <v>546</v>
      </c>
      <c r="S1" s="1" t="s">
        <v>453</v>
      </c>
    </row>
    <row r="2" customFormat="false" ht="12.75" hidden="false" customHeight="false" outlineLevel="0" collapsed="false">
      <c r="A2" s="1" t="s">
        <v>547</v>
      </c>
      <c r="B2" s="1" t="n">
        <v>0</v>
      </c>
      <c r="C2" s="27"/>
      <c r="D2" s="1" t="n">
        <v>0.759</v>
      </c>
      <c r="E2" s="1" t="n">
        <v>7</v>
      </c>
      <c r="F2" s="1" t="n">
        <v>0</v>
      </c>
      <c r="G2" s="1" t="n">
        <v>0</v>
      </c>
      <c r="H2" s="1" t="n">
        <v>3</v>
      </c>
      <c r="I2" s="1" t="n">
        <v>1</v>
      </c>
      <c r="J2" s="1" t="n">
        <v>59.9</v>
      </c>
      <c r="K2" s="1" t="n">
        <v>50.9</v>
      </c>
      <c r="L2" s="1" t="n">
        <v>0</v>
      </c>
      <c r="M2" s="1" t="n">
        <v>11</v>
      </c>
      <c r="N2" s="1" t="n">
        <f aca="false">274/814</f>
        <v>0.3366093366</v>
      </c>
      <c r="O2" s="1" t="n">
        <v>0.423</v>
      </c>
      <c r="P2" s="1" t="n">
        <v>0.711</v>
      </c>
      <c r="Q2" s="1" t="n">
        <v>14</v>
      </c>
      <c r="R2" s="1" t="n">
        <v>16.6</v>
      </c>
      <c r="S2" s="1" t="n">
        <f aca="false">6/7</f>
        <v>0.8571428571</v>
      </c>
    </row>
    <row r="3" customFormat="false" ht="12.75" hidden="false" customHeight="false" outlineLevel="0" collapsed="false">
      <c r="A3" s="1" t="s">
        <v>57</v>
      </c>
      <c r="B3" s="1" t="n">
        <v>3</v>
      </c>
      <c r="C3" s="27"/>
      <c r="D3" s="1" t="n">
        <v>0.606</v>
      </c>
      <c r="E3" s="1" t="n">
        <v>6</v>
      </c>
      <c r="F3" s="1" t="n">
        <v>0</v>
      </c>
      <c r="G3" s="1" t="n">
        <v>1</v>
      </c>
      <c r="H3" s="1" t="n">
        <v>1</v>
      </c>
      <c r="I3" s="1" t="n">
        <v>1</v>
      </c>
      <c r="J3" s="1" t="n">
        <v>72.1</v>
      </c>
      <c r="K3" s="1" t="n">
        <v>68</v>
      </c>
      <c r="L3" s="1" t="n">
        <v>2</v>
      </c>
      <c r="M3" s="1" t="n">
        <v>12.8</v>
      </c>
      <c r="N3" s="1" t="n">
        <f aca="false">397/1129</f>
        <v>0.3516386182</v>
      </c>
      <c r="O3" s="1" t="n">
        <v>0.293</v>
      </c>
      <c r="P3" s="1" t="n">
        <v>0.709</v>
      </c>
      <c r="Q3" s="1" t="n">
        <v>13</v>
      </c>
      <c r="R3" s="1" t="n">
        <v>6.1</v>
      </c>
      <c r="S3" s="1" t="n">
        <f aca="false">7/12</f>
        <v>0.5833333333</v>
      </c>
    </row>
    <row r="4" customFormat="false" ht="12.75" hidden="false" customHeight="false" outlineLevel="0" collapsed="false">
      <c r="A4" s="1" t="s">
        <v>454</v>
      </c>
      <c r="B4" s="1" t="n">
        <v>0</v>
      </c>
      <c r="C4" s="27"/>
      <c r="D4" s="1" t="n">
        <v>0.516</v>
      </c>
      <c r="E4" s="1" t="n">
        <v>9</v>
      </c>
      <c r="F4" s="1" t="n">
        <v>1</v>
      </c>
      <c r="G4" s="1" t="n">
        <v>0</v>
      </c>
      <c r="H4" s="1" t="n">
        <v>1</v>
      </c>
      <c r="I4" s="1" t="n">
        <v>1</v>
      </c>
      <c r="J4" s="1" t="n">
        <v>61.4</v>
      </c>
      <c r="K4" s="1" t="n">
        <v>61.7</v>
      </c>
      <c r="L4" s="1" t="n">
        <v>1</v>
      </c>
      <c r="M4" s="1" t="n">
        <v>17.3</v>
      </c>
      <c r="N4" s="1" t="n">
        <f aca="false">357/987</f>
        <v>0.3617021277</v>
      </c>
      <c r="O4" s="1" t="n">
        <v>0.272</v>
      </c>
      <c r="P4" s="1" t="n">
        <v>0.656</v>
      </c>
      <c r="Q4" s="1" t="n">
        <v>14</v>
      </c>
      <c r="R4" s="1" t="n">
        <v>-0.4</v>
      </c>
      <c r="S4" s="1" t="n">
        <f aca="false">4/6</f>
        <v>0.6666666667</v>
      </c>
    </row>
    <row r="5" customFormat="false" ht="12.75" hidden="false" customHeight="false" outlineLevel="0" collapsed="false">
      <c r="A5" s="1" t="s">
        <v>26</v>
      </c>
      <c r="B5" s="1" t="n">
        <v>0</v>
      </c>
      <c r="C5" s="27"/>
      <c r="D5" s="1" t="n">
        <v>0.667</v>
      </c>
      <c r="E5" s="1" t="n">
        <v>6</v>
      </c>
      <c r="F5" s="1" t="n">
        <v>0</v>
      </c>
      <c r="G5" s="1" t="n">
        <v>1</v>
      </c>
      <c r="H5" s="1" t="n">
        <v>3</v>
      </c>
      <c r="I5" s="1" t="n">
        <v>6</v>
      </c>
      <c r="J5" s="1" t="n">
        <v>87.1</v>
      </c>
      <c r="K5" s="1" t="n">
        <v>78.5</v>
      </c>
      <c r="L5" s="1" t="n">
        <v>3</v>
      </c>
      <c r="M5" s="1" t="n">
        <v>14.9</v>
      </c>
      <c r="N5" s="1" t="n">
        <f aca="false">414/1196</f>
        <v>0.3461538462</v>
      </c>
      <c r="O5" s="1" t="n">
        <v>0.251</v>
      </c>
      <c r="P5" s="1" t="n">
        <v>0.786</v>
      </c>
      <c r="Q5" s="1" t="n">
        <v>13</v>
      </c>
      <c r="R5" s="1" t="n">
        <v>11.4</v>
      </c>
      <c r="S5" s="1" t="n">
        <v>0.4</v>
      </c>
    </row>
    <row r="6" customFormat="false" ht="12.75" hidden="false" customHeight="false" outlineLevel="0" collapsed="false">
      <c r="A6" s="1" t="s">
        <v>504</v>
      </c>
      <c r="B6" s="1" t="n">
        <v>1</v>
      </c>
      <c r="C6" s="27"/>
      <c r="D6" s="1" t="n">
        <v>0.706</v>
      </c>
      <c r="E6" s="1" t="n">
        <v>8</v>
      </c>
      <c r="F6" s="1" t="n">
        <v>0</v>
      </c>
      <c r="G6" s="1" t="n">
        <v>1</v>
      </c>
      <c r="H6" s="1" t="n">
        <v>6</v>
      </c>
      <c r="I6" s="1" t="n">
        <v>6</v>
      </c>
      <c r="J6" s="1" t="n">
        <v>68</v>
      </c>
      <c r="K6" s="1" t="n">
        <v>63.2</v>
      </c>
      <c r="L6" s="1" t="n">
        <v>2</v>
      </c>
      <c r="M6" s="1" t="n">
        <v>13.5</v>
      </c>
      <c r="N6" s="1" t="n">
        <f aca="false">440/1120</f>
        <v>0.3928571429</v>
      </c>
      <c r="O6" s="1" t="n">
        <v>0.166</v>
      </c>
      <c r="P6" s="1" t="n">
        <v>0.679</v>
      </c>
      <c r="Q6" s="1" t="n">
        <v>12</v>
      </c>
      <c r="R6" s="1" t="n">
        <v>7.4</v>
      </c>
      <c r="S6" s="1" t="n">
        <f aca="false">9/12</f>
        <v>0.75</v>
      </c>
    </row>
    <row r="7" customFormat="false" ht="16.5" hidden="false" customHeight="true" outlineLevel="0" collapsed="false">
      <c r="A7" s="1" t="s">
        <v>428</v>
      </c>
      <c r="B7" s="1" t="n">
        <v>0</v>
      </c>
      <c r="C7" s="27"/>
      <c r="D7" s="1" t="n">
        <v>0.7</v>
      </c>
      <c r="E7" s="1" t="n">
        <v>9</v>
      </c>
      <c r="F7" s="1" t="n">
        <v>0</v>
      </c>
      <c r="G7" s="1" t="n">
        <v>0</v>
      </c>
      <c r="H7" s="1" t="n">
        <v>3</v>
      </c>
      <c r="I7" s="1" t="n">
        <v>4</v>
      </c>
      <c r="J7" s="1" t="n">
        <v>73.3</v>
      </c>
      <c r="K7" s="1" t="n">
        <v>65.5</v>
      </c>
      <c r="L7" s="1" t="n">
        <v>2</v>
      </c>
      <c r="M7" s="1" t="n">
        <v>13.6</v>
      </c>
      <c r="N7" s="1" t="n">
        <f aca="false">258/849</f>
        <v>0.3038869258</v>
      </c>
      <c r="O7" s="1" t="n">
        <v>0.233</v>
      </c>
      <c r="P7" s="1" t="n">
        <v>0.724</v>
      </c>
      <c r="Q7" s="1" t="n">
        <v>11</v>
      </c>
      <c r="R7" s="1" t="n">
        <v>11.8</v>
      </c>
      <c r="S7" s="1" t="n">
        <f aca="false">5/11</f>
        <v>0.4545454545</v>
      </c>
    </row>
    <row r="8" customFormat="false" ht="1.5" hidden="false" customHeight="true" outlineLevel="0" collapsed="false">
      <c r="A8" s="1" t="s">
        <v>558</v>
      </c>
      <c r="B8" s="1" t="n">
        <v>0</v>
      </c>
      <c r="C8" s="27"/>
      <c r="D8" s="1" t="n">
        <v>0.806</v>
      </c>
      <c r="E8" s="1" t="n">
        <v>9</v>
      </c>
      <c r="F8" s="1" t="n">
        <v>1</v>
      </c>
      <c r="G8" s="1" t="n">
        <v>0</v>
      </c>
      <c r="H8" s="1" t="n">
        <v>0</v>
      </c>
      <c r="I8" s="1" t="n">
        <v>1</v>
      </c>
      <c r="J8" s="1" t="n">
        <v>70.4</v>
      </c>
      <c r="K8" s="1" t="n">
        <v>61.8</v>
      </c>
      <c r="L8" s="1" t="n">
        <v>0</v>
      </c>
      <c r="M8" s="1" t="n">
        <v>15.3</v>
      </c>
      <c r="N8" s="1" t="n">
        <f aca="false">347/989</f>
        <v>0.350859454</v>
      </c>
      <c r="O8" s="1" t="n">
        <v>0.319</v>
      </c>
      <c r="P8" s="1" t="n">
        <v>0.716</v>
      </c>
      <c r="Q8" s="1" t="n">
        <v>10</v>
      </c>
      <c r="R8" s="1" t="n">
        <v>12.8</v>
      </c>
      <c r="S8" s="1" t="n">
        <f aca="false">6/7</f>
        <v>0.8571428571</v>
      </c>
    </row>
    <row r="9" customFormat="false" ht="12.75" hidden="false" customHeight="false" outlineLevel="0" collapsed="false">
      <c r="A9" s="1" t="s">
        <v>34</v>
      </c>
      <c r="B9" s="1" t="n">
        <v>1</v>
      </c>
      <c r="C9" s="27"/>
      <c r="D9" s="1" t="n">
        <v>0.781</v>
      </c>
      <c r="E9" s="1" t="n">
        <v>7</v>
      </c>
      <c r="F9" s="1" t="n">
        <v>1</v>
      </c>
      <c r="G9" s="1" t="n">
        <v>0</v>
      </c>
      <c r="H9" s="1" t="n">
        <v>7</v>
      </c>
      <c r="I9" s="1" t="n">
        <v>5</v>
      </c>
      <c r="J9" s="1" t="n">
        <v>76.7</v>
      </c>
      <c r="K9" s="1" t="n">
        <v>64.2</v>
      </c>
      <c r="L9" s="1" t="n">
        <v>3</v>
      </c>
      <c r="M9" s="1" t="n">
        <v>12.3</v>
      </c>
      <c r="N9" s="1" t="n">
        <f aca="false">394/1118</f>
        <v>0.3524150268</v>
      </c>
      <c r="O9" s="1" t="n">
        <v>0.289</v>
      </c>
      <c r="P9" s="1" t="n">
        <v>0.669</v>
      </c>
      <c r="Q9" s="1" t="n">
        <v>14</v>
      </c>
      <c r="R9" s="1" t="n">
        <v>18</v>
      </c>
      <c r="S9" s="1" t="n">
        <f aca="false">6/9</f>
        <v>0.6666666667</v>
      </c>
    </row>
    <row r="10" customFormat="false" ht="12.75" hidden="false" customHeight="false" outlineLevel="0" collapsed="false">
      <c r="A10" s="1" t="s">
        <v>182</v>
      </c>
      <c r="B10" s="1" t="n">
        <v>6</v>
      </c>
      <c r="C10" s="27"/>
      <c r="D10" s="1" t="n">
        <v>0.846</v>
      </c>
      <c r="E10" s="1" t="n">
        <v>8</v>
      </c>
      <c r="F10" s="1" t="n">
        <v>1</v>
      </c>
      <c r="G10" s="1" t="n">
        <v>1</v>
      </c>
      <c r="H10" s="1" t="n">
        <v>7</v>
      </c>
      <c r="I10" s="1" t="n">
        <v>5</v>
      </c>
      <c r="J10" s="1" t="n">
        <v>78.8</v>
      </c>
      <c r="K10" s="1" t="n">
        <v>63.9</v>
      </c>
      <c r="L10" s="1" t="n">
        <v>2</v>
      </c>
      <c r="M10" s="1" t="n">
        <v>13.6</v>
      </c>
      <c r="N10" s="1" t="n">
        <f aca="false">505/1478</f>
        <v>0.3416779432</v>
      </c>
      <c r="O10" s="1" t="n">
        <v>0.243</v>
      </c>
      <c r="P10" s="1" t="n">
        <v>0.623</v>
      </c>
      <c r="Q10" s="1" t="n">
        <v>14</v>
      </c>
      <c r="R10" s="1" t="n">
        <v>21.1</v>
      </c>
      <c r="S10" s="1" t="n">
        <f aca="false">6/7</f>
        <v>0.8571428571</v>
      </c>
    </row>
    <row r="11" customFormat="false" ht="12.75" hidden="false" customHeight="false" outlineLevel="0" collapsed="false">
      <c r="A11" s="1" t="s">
        <v>103</v>
      </c>
      <c r="B11" s="1" t="n">
        <v>0</v>
      </c>
      <c r="C11" s="27"/>
      <c r="D11" s="1" t="n">
        <v>0.727</v>
      </c>
      <c r="E11" s="1" t="n">
        <v>5</v>
      </c>
      <c r="F11" s="1" t="n">
        <v>0</v>
      </c>
      <c r="G11" s="1" t="n">
        <v>0</v>
      </c>
      <c r="H11" s="1" t="n">
        <v>5</v>
      </c>
      <c r="I11" s="1" t="n">
        <v>4</v>
      </c>
      <c r="J11" s="1" t="n">
        <v>68</v>
      </c>
      <c r="K11" s="1" t="n">
        <v>64.5</v>
      </c>
      <c r="L11" s="1" t="n">
        <v>1</v>
      </c>
      <c r="M11" s="1" t="n">
        <v>14.2</v>
      </c>
      <c r="N11" s="1" t="n">
        <f aca="false">391/1216</f>
        <v>0.3215460526</v>
      </c>
      <c r="O11" s="1" t="n">
        <v>0.267</v>
      </c>
      <c r="P11" s="1" t="n">
        <v>0.665</v>
      </c>
      <c r="Q11" s="1" t="n">
        <v>15</v>
      </c>
      <c r="R11" s="1" t="n">
        <v>5.5</v>
      </c>
      <c r="S11" s="1" t="n">
        <f aca="false">10/14</f>
        <v>0.7142857143</v>
      </c>
    </row>
    <row r="12" customFormat="false" ht="12.75" hidden="false" customHeight="false" outlineLevel="0" collapsed="false">
      <c r="A12" s="1" t="s">
        <v>569</v>
      </c>
      <c r="B12" s="1" t="n">
        <v>1</v>
      </c>
      <c r="C12" s="27"/>
      <c r="D12" s="1" t="n">
        <v>0.688</v>
      </c>
      <c r="E12" s="1" t="n">
        <v>8</v>
      </c>
      <c r="F12" s="1" t="n">
        <v>0</v>
      </c>
      <c r="G12" s="1" t="n">
        <v>0</v>
      </c>
      <c r="H12" s="1" t="n">
        <v>5</v>
      </c>
      <c r="I12" s="1" t="n">
        <v>4</v>
      </c>
      <c r="J12" s="1" t="n">
        <v>70.5</v>
      </c>
      <c r="K12" s="1" t="n">
        <v>67.8</v>
      </c>
      <c r="L12" s="1" t="n">
        <v>0</v>
      </c>
      <c r="M12" s="1" t="n">
        <v>13.2</v>
      </c>
      <c r="N12" s="1" t="n">
        <f aca="false">369/1022</f>
        <v>0.3610567515</v>
      </c>
      <c r="O12" s="1" t="n">
        <v>0.216</v>
      </c>
      <c r="P12" s="1" t="n">
        <v>0.697</v>
      </c>
      <c r="Q12" s="1" t="n">
        <v>15</v>
      </c>
      <c r="R12" s="1" t="n">
        <v>4</v>
      </c>
      <c r="S12" s="1" t="n">
        <f aca="false">7/9</f>
        <v>0.7777777778</v>
      </c>
    </row>
    <row r="13" customFormat="false" ht="12.75" hidden="false" customHeight="false" outlineLevel="0" collapsed="false">
      <c r="A13" s="1" t="s">
        <v>86</v>
      </c>
      <c r="B13" s="1" t="n">
        <v>4</v>
      </c>
      <c r="C13" s="27"/>
      <c r="D13" s="1" t="n">
        <v>0.838</v>
      </c>
      <c r="E13" s="1" t="n">
        <v>6</v>
      </c>
      <c r="F13" s="1" t="n">
        <v>0</v>
      </c>
      <c r="G13" s="1" t="n">
        <v>1</v>
      </c>
      <c r="H13" s="1" t="n">
        <v>11</v>
      </c>
      <c r="I13" s="1" t="n">
        <v>3</v>
      </c>
      <c r="J13" s="1" t="n">
        <v>79.8</v>
      </c>
      <c r="K13" s="1" t="n">
        <v>65</v>
      </c>
      <c r="L13" s="1" t="n">
        <v>3</v>
      </c>
      <c r="M13" s="1" t="n">
        <v>13.8</v>
      </c>
      <c r="N13" s="1" t="n">
        <f aca="false">508/1265</f>
        <v>0.4015810277</v>
      </c>
      <c r="O13" s="1" t="n">
        <v>0.267</v>
      </c>
      <c r="P13" s="1" t="n">
        <v>0.736</v>
      </c>
      <c r="Q13" s="1" t="n">
        <v>13</v>
      </c>
      <c r="R13" s="1" t="n">
        <v>21</v>
      </c>
      <c r="S13" s="1" t="n">
        <f aca="false">4/6</f>
        <v>0.6666666667</v>
      </c>
    </row>
    <row r="14" customFormat="false" ht="12.75" hidden="false" customHeight="false" outlineLevel="0" collapsed="false">
      <c r="A14" s="1" t="s">
        <v>570</v>
      </c>
      <c r="B14" s="1" t="n">
        <v>0</v>
      </c>
      <c r="C14" s="66"/>
      <c r="D14" s="1" t="n">
        <v>0.818</v>
      </c>
      <c r="E14" s="1" t="n">
        <v>9</v>
      </c>
      <c r="F14" s="1" t="n">
        <v>1</v>
      </c>
      <c r="G14" s="1" t="n">
        <v>0</v>
      </c>
      <c r="H14" s="1" t="n">
        <v>0</v>
      </c>
      <c r="I14" s="1" t="n">
        <v>1</v>
      </c>
      <c r="J14" s="1" t="n">
        <v>79.3</v>
      </c>
      <c r="K14" s="1" t="n">
        <v>69.4</v>
      </c>
      <c r="L14" s="1" t="n">
        <v>1</v>
      </c>
      <c r="M14" s="1" t="n">
        <v>15.6</v>
      </c>
      <c r="N14" s="1" t="n">
        <f aca="false">394/1231</f>
        <v>0.3200649878</v>
      </c>
      <c r="O14" s="1" t="n">
        <v>0.23</v>
      </c>
      <c r="P14" s="1" t="n">
        <v>0.689</v>
      </c>
      <c r="Q14" s="1" t="n">
        <v>15</v>
      </c>
      <c r="R14" s="1" t="n">
        <v>12.9</v>
      </c>
      <c r="S14" s="1" t="n">
        <f aca="false">8/11</f>
        <v>0.7272727273</v>
      </c>
    </row>
    <row r="15" customFormat="false" ht="12.75" hidden="false" customHeight="false" outlineLevel="0" collapsed="false">
      <c r="A15" s="1" t="s">
        <v>245</v>
      </c>
      <c r="B15" s="1" t="n">
        <v>0</v>
      </c>
      <c r="C15" s="27"/>
      <c r="D15" s="1" t="n">
        <v>0.567</v>
      </c>
      <c r="E15" s="1" t="n">
        <v>8</v>
      </c>
      <c r="F15" s="1" t="n">
        <v>1</v>
      </c>
      <c r="G15" s="1" t="n">
        <v>0</v>
      </c>
      <c r="H15" s="1" t="n">
        <v>0</v>
      </c>
      <c r="I15" s="1" t="n">
        <v>2</v>
      </c>
      <c r="J15" s="1" t="n">
        <v>70.1</v>
      </c>
      <c r="K15" s="1" t="n">
        <v>67.8</v>
      </c>
      <c r="L15" s="1" t="n">
        <v>1</v>
      </c>
      <c r="M15" s="1" t="n">
        <v>15.1</v>
      </c>
      <c r="N15" s="1" t="n">
        <f aca="false">291/932</f>
        <v>0.3122317597</v>
      </c>
      <c r="O15" s="1" t="n">
        <v>0.255</v>
      </c>
      <c r="P15" s="1" t="n">
        <v>0.706</v>
      </c>
      <c r="Q15" s="1" t="n">
        <v>13</v>
      </c>
      <c r="R15" s="1" t="n">
        <v>3.3</v>
      </c>
      <c r="S15" s="1" t="n">
        <v>0.5</v>
      </c>
    </row>
    <row r="16" customFormat="false" ht="12.75" hidden="false" customHeight="false" outlineLevel="0" collapsed="false">
      <c r="A16" s="1" t="s">
        <v>62</v>
      </c>
      <c r="B16" s="1" t="n">
        <v>0</v>
      </c>
      <c r="C16" s="27"/>
      <c r="D16" s="1" t="n">
        <v>0.645</v>
      </c>
      <c r="E16" s="1" t="n">
        <v>6</v>
      </c>
      <c r="F16" s="1" t="n">
        <v>0</v>
      </c>
      <c r="G16" s="1" t="n">
        <v>1</v>
      </c>
      <c r="H16" s="1" t="n">
        <v>9</v>
      </c>
      <c r="I16" s="1" t="n">
        <v>7</v>
      </c>
      <c r="J16" s="1" t="n">
        <v>76.4</v>
      </c>
      <c r="K16" s="1" t="n">
        <v>69.3</v>
      </c>
      <c r="L16" s="1" t="n">
        <v>3</v>
      </c>
      <c r="M16" s="1" t="n">
        <v>14.6</v>
      </c>
      <c r="N16" s="1" t="n">
        <f aca="false">400/1056</f>
        <v>0.3787878788</v>
      </c>
      <c r="O16" s="1" t="n">
        <v>0.315</v>
      </c>
      <c r="P16" s="1" t="n">
        <v>0.75</v>
      </c>
      <c r="Q16" s="1" t="n">
        <v>14</v>
      </c>
      <c r="R16" s="1" t="n">
        <v>10.2</v>
      </c>
      <c r="S16" s="1" t="n">
        <f aca="false">4/9</f>
        <v>0.4444444444</v>
      </c>
    </row>
    <row r="17" customFormat="false" ht="12.75" hidden="false" customHeight="false" outlineLevel="0" collapsed="false">
      <c r="A17" s="1" t="s">
        <v>533</v>
      </c>
      <c r="B17" s="1" t="n">
        <v>0</v>
      </c>
      <c r="C17" s="27"/>
      <c r="D17" s="1" t="n">
        <v>0.469</v>
      </c>
      <c r="E17" s="1" t="n">
        <v>6</v>
      </c>
      <c r="F17" s="1" t="n">
        <v>1</v>
      </c>
      <c r="G17" s="1" t="n">
        <v>0</v>
      </c>
      <c r="H17" s="1" t="n">
        <v>0</v>
      </c>
      <c r="I17" s="1" t="n">
        <v>3</v>
      </c>
      <c r="J17" s="1" t="n">
        <v>72.2</v>
      </c>
      <c r="K17" s="1" t="n">
        <v>74.1</v>
      </c>
      <c r="L17" s="1" t="n">
        <v>0</v>
      </c>
      <c r="M17" s="1" t="n">
        <v>16.8</v>
      </c>
      <c r="N17" s="1" t="n">
        <f aca="false">232/725</f>
        <v>0.32</v>
      </c>
      <c r="O17" s="1" t="n">
        <v>0.351</v>
      </c>
      <c r="P17" s="1" t="n">
        <v>0.708</v>
      </c>
      <c r="Q17" s="1" t="n">
        <v>12</v>
      </c>
      <c r="R17" s="1" t="n">
        <v>-2.7</v>
      </c>
      <c r="S17" s="1" t="n">
        <f aca="false">4/10</f>
        <v>0.4</v>
      </c>
    </row>
    <row r="18" customFormat="false" ht="12.75" hidden="false" customHeight="false" outlineLevel="0" collapsed="false">
      <c r="A18" s="1" t="s">
        <v>482</v>
      </c>
      <c r="B18" s="1" t="n">
        <v>5</v>
      </c>
      <c r="C18" s="27"/>
      <c r="D18" s="1" t="n">
        <v>0.737</v>
      </c>
      <c r="E18" s="1" t="n">
        <v>6</v>
      </c>
      <c r="F18" s="1" t="n">
        <v>0</v>
      </c>
      <c r="G18" s="1" t="n">
        <v>0</v>
      </c>
      <c r="H18" s="1" t="n">
        <v>10</v>
      </c>
      <c r="I18" s="1" t="n">
        <v>6</v>
      </c>
      <c r="J18" s="1" t="n">
        <v>76.6</v>
      </c>
      <c r="K18" s="1" t="n">
        <v>67.2</v>
      </c>
      <c r="L18" s="1" t="n">
        <v>1</v>
      </c>
      <c r="M18" s="1" t="n">
        <v>15.2</v>
      </c>
      <c r="N18" s="1" t="n">
        <f aca="false">364/1199</f>
        <v>0.3035863219</v>
      </c>
      <c r="O18" s="1" t="n">
        <v>0.275</v>
      </c>
      <c r="P18" s="1" t="n">
        <v>0.692</v>
      </c>
      <c r="Q18" s="1" t="n">
        <v>16</v>
      </c>
      <c r="R18" s="1" t="n">
        <v>13</v>
      </c>
      <c r="S18" s="1" t="n">
        <v>0.6</v>
      </c>
    </row>
    <row r="19" customFormat="false" ht="12.75" hidden="false" customHeight="false" outlineLevel="0" collapsed="false">
      <c r="A19" s="1" t="s">
        <v>43</v>
      </c>
      <c r="B19" s="1" t="n">
        <v>1</v>
      </c>
      <c r="C19" s="27"/>
      <c r="D19" s="1" t="n">
        <v>0.903</v>
      </c>
      <c r="E19" s="1" t="n">
        <v>10</v>
      </c>
      <c r="F19" s="1" t="n">
        <v>1</v>
      </c>
      <c r="G19" s="1" t="n">
        <v>0</v>
      </c>
      <c r="H19" s="1" t="n">
        <v>3</v>
      </c>
      <c r="I19" s="1" t="n">
        <v>2</v>
      </c>
      <c r="J19" s="1" t="n">
        <v>81.8</v>
      </c>
      <c r="K19" s="1" t="n">
        <v>66.2</v>
      </c>
      <c r="L19" s="1" t="n">
        <v>3</v>
      </c>
      <c r="M19" s="1" t="n">
        <v>13.5</v>
      </c>
      <c r="N19" s="1" t="n">
        <f aca="false">319/1106</f>
        <v>0.2884267631</v>
      </c>
      <c r="O19" s="1" t="n">
        <v>0.23</v>
      </c>
      <c r="P19" s="1" t="n">
        <v>0.75</v>
      </c>
      <c r="Q19" s="1" t="n">
        <v>15</v>
      </c>
      <c r="R19" s="1" t="n">
        <v>22.4</v>
      </c>
      <c r="S19" s="1" t="n">
        <v>1</v>
      </c>
    </row>
    <row r="20" customFormat="false" ht="12.75" hidden="false" customHeight="false" outlineLevel="0" collapsed="false">
      <c r="A20" s="1" t="s">
        <v>363</v>
      </c>
      <c r="B20" s="1" t="n">
        <v>2</v>
      </c>
      <c r="C20" s="27"/>
      <c r="D20" s="1" t="n">
        <v>0.788</v>
      </c>
      <c r="E20" s="1" t="n">
        <v>9</v>
      </c>
      <c r="F20" s="1" t="n">
        <v>0</v>
      </c>
      <c r="G20" s="1" t="n">
        <v>1</v>
      </c>
      <c r="H20" s="1" t="n">
        <v>4</v>
      </c>
      <c r="I20" s="1" t="n">
        <v>4</v>
      </c>
      <c r="J20" s="1" t="n">
        <v>72.8</v>
      </c>
      <c r="K20" s="1" t="n">
        <v>62.9</v>
      </c>
      <c r="L20" s="1" t="n">
        <v>3</v>
      </c>
      <c r="M20" s="1" t="n">
        <v>12.2</v>
      </c>
      <c r="N20" s="1" t="n">
        <f aca="false">372/1064</f>
        <v>0.3496240602</v>
      </c>
      <c r="O20" s="1" t="n">
        <v>0.288</v>
      </c>
      <c r="P20" s="1" t="n">
        <v>0.695</v>
      </c>
      <c r="Q20" s="1" t="n">
        <v>15</v>
      </c>
      <c r="R20" s="1" t="n">
        <v>15</v>
      </c>
      <c r="S20" s="1" t="n">
        <f aca="false">4/5</f>
        <v>0.8</v>
      </c>
    </row>
    <row r="21" customFormat="false" ht="12.75" hidden="false" customHeight="false" outlineLevel="0" collapsed="false">
      <c r="A21" s="1" t="s">
        <v>71</v>
      </c>
      <c r="B21" s="1" t="n">
        <v>3</v>
      </c>
      <c r="C21" s="27"/>
      <c r="D21" s="1" t="n">
        <v>0.727</v>
      </c>
      <c r="E21" s="1" t="n">
        <v>6</v>
      </c>
      <c r="F21" s="1" t="n">
        <v>0</v>
      </c>
      <c r="G21" s="1" t="n">
        <v>1</v>
      </c>
      <c r="H21" s="1" t="n">
        <v>2</v>
      </c>
      <c r="I21" s="1" t="n">
        <v>6</v>
      </c>
      <c r="J21" s="1" t="n">
        <v>75.8</v>
      </c>
      <c r="K21" s="1" t="n">
        <v>67.2</v>
      </c>
      <c r="L21" s="1" t="n">
        <v>3</v>
      </c>
      <c r="M21" s="1" t="n">
        <v>14.7</v>
      </c>
      <c r="N21" s="1" t="n">
        <f aca="false">366/1139</f>
        <v>0.321334504</v>
      </c>
      <c r="O21" s="1" t="n">
        <v>0.255</v>
      </c>
      <c r="P21" s="1" t="n">
        <v>0.707</v>
      </c>
      <c r="Q21" s="1" t="n">
        <v>14</v>
      </c>
      <c r="R21" s="1" t="n">
        <v>12.2</v>
      </c>
      <c r="S21" s="1" t="n">
        <v>0.5</v>
      </c>
    </row>
    <row r="22" customFormat="false" ht="12.75" hidden="false" customHeight="false" outlineLevel="0" collapsed="false">
      <c r="A22" s="1" t="s">
        <v>24</v>
      </c>
      <c r="B22" s="1" t="n">
        <v>1</v>
      </c>
      <c r="C22" s="27"/>
      <c r="D22" s="1" t="n">
        <v>0.844</v>
      </c>
      <c r="E22" s="1" t="n">
        <v>9</v>
      </c>
      <c r="F22" s="1" t="n">
        <v>1</v>
      </c>
      <c r="G22" s="1" t="n">
        <v>1</v>
      </c>
      <c r="H22" s="1" t="n">
        <v>11</v>
      </c>
      <c r="I22" s="1" t="n">
        <v>2</v>
      </c>
      <c r="J22" s="1" t="n">
        <v>73.9</v>
      </c>
      <c r="K22" s="1" t="n">
        <v>63.6</v>
      </c>
      <c r="L22" s="1" t="n">
        <v>3</v>
      </c>
      <c r="M22" s="1" t="n">
        <v>14.6</v>
      </c>
      <c r="N22" s="1" t="n">
        <f aca="false">341/1004</f>
        <v>0.3396414343</v>
      </c>
      <c r="O22" s="1" t="n">
        <v>0.258</v>
      </c>
      <c r="P22" s="1" t="n">
        <v>0.697</v>
      </c>
      <c r="Q22" s="1" t="n">
        <v>16</v>
      </c>
      <c r="R22" s="1" t="n">
        <v>14.9</v>
      </c>
      <c r="S22" s="1" t="n">
        <f aca="false">7/8</f>
        <v>0.875</v>
      </c>
    </row>
    <row r="23" customFormat="false" ht="12.75" hidden="false" customHeight="false" outlineLevel="0" collapsed="false">
      <c r="A23" s="1" t="s">
        <v>366</v>
      </c>
      <c r="B23" s="1" t="n">
        <v>0</v>
      </c>
      <c r="C23" s="27"/>
      <c r="D23" s="1" t="n">
        <v>0.545</v>
      </c>
      <c r="E23" s="1" t="n">
        <v>8</v>
      </c>
      <c r="F23" s="1" t="n">
        <v>1</v>
      </c>
      <c r="G23" s="1" t="n">
        <v>0</v>
      </c>
      <c r="H23" s="1" t="n">
        <v>0</v>
      </c>
      <c r="I23" s="1" t="n">
        <v>4</v>
      </c>
      <c r="J23" s="1" t="n">
        <v>69.2</v>
      </c>
      <c r="K23" s="1" t="n">
        <v>67.4</v>
      </c>
      <c r="L23" s="1" t="n">
        <v>0</v>
      </c>
      <c r="M23" s="1" t="n">
        <v>16</v>
      </c>
      <c r="N23" s="1" t="n">
        <f aca="false">434/1199</f>
        <v>0.3619683069</v>
      </c>
      <c r="O23" s="1" t="n">
        <v>0.27</v>
      </c>
      <c r="P23" s="1" t="n">
        <v>0.676</v>
      </c>
      <c r="Q23" s="1" t="n">
        <v>10</v>
      </c>
      <c r="R23" s="1" t="n">
        <v>2.6</v>
      </c>
      <c r="S23" s="1" t="n">
        <v>0.5</v>
      </c>
    </row>
    <row r="24" customFormat="false" ht="12.75" hidden="false" customHeight="false" outlineLevel="0" collapsed="false">
      <c r="A24" s="1" t="s">
        <v>562</v>
      </c>
      <c r="B24" s="1" t="n">
        <v>0</v>
      </c>
      <c r="C24" s="27"/>
      <c r="D24" s="1" t="n">
        <v>0.429</v>
      </c>
      <c r="E24" s="1" t="n">
        <v>7</v>
      </c>
      <c r="F24" s="1" t="n">
        <v>1</v>
      </c>
      <c r="G24" s="1" t="n">
        <v>0</v>
      </c>
      <c r="H24" s="1" t="n">
        <v>1</v>
      </c>
      <c r="I24" s="1" t="n">
        <v>4</v>
      </c>
      <c r="J24" s="1" t="n">
        <v>77</v>
      </c>
      <c r="K24" s="1" t="n">
        <v>69</v>
      </c>
      <c r="L24" s="1" t="n">
        <v>0</v>
      </c>
      <c r="M24" s="1" t="n">
        <v>14.4</v>
      </c>
      <c r="N24" s="1" t="n">
        <f aca="false">396/1040</f>
        <v>0.3807692308</v>
      </c>
      <c r="O24" s="1" t="n">
        <v>0.318</v>
      </c>
      <c r="P24" s="1" t="n">
        <v>0.689</v>
      </c>
      <c r="Q24" s="1" t="n">
        <v>15</v>
      </c>
      <c r="R24" s="1" t="n">
        <v>11.4</v>
      </c>
      <c r="S24" s="1" t="n">
        <f aca="false">3/8</f>
        <v>0.375</v>
      </c>
    </row>
    <row r="25" customFormat="false" ht="12.75" hidden="false" customHeight="false" outlineLevel="0" collapsed="false">
      <c r="A25" s="1" t="s">
        <v>109</v>
      </c>
      <c r="B25" s="1" t="n">
        <v>0</v>
      </c>
      <c r="C25" s="27"/>
      <c r="D25" s="1" t="n">
        <v>0.667</v>
      </c>
      <c r="E25" s="1" t="n">
        <v>4</v>
      </c>
      <c r="F25" s="1" t="n">
        <v>0</v>
      </c>
      <c r="G25" s="1" t="n">
        <v>0</v>
      </c>
      <c r="H25" s="1" t="n">
        <v>7</v>
      </c>
      <c r="I25" s="1" t="n">
        <v>5</v>
      </c>
      <c r="J25" s="1" t="n">
        <v>73.2</v>
      </c>
      <c r="K25" s="1" t="n">
        <v>61.5</v>
      </c>
      <c r="L25" s="1" t="n">
        <v>1</v>
      </c>
      <c r="M25" s="1" t="n">
        <v>13.8</v>
      </c>
      <c r="N25" s="1" t="n">
        <f aca="false">338/1100</f>
        <v>0.3072727273</v>
      </c>
      <c r="O25" s="1" t="n">
        <v>0.329</v>
      </c>
      <c r="P25" s="1" t="n">
        <v>0.749</v>
      </c>
      <c r="Q25" s="1" t="n">
        <v>15</v>
      </c>
      <c r="R25" s="1" t="n">
        <v>16.5</v>
      </c>
      <c r="S25" s="1" t="n">
        <f aca="false">1/6</f>
        <v>0.1666666667</v>
      </c>
    </row>
    <row r="26" customFormat="false" ht="12.75" hidden="false" customHeight="false" outlineLevel="0" collapsed="false">
      <c r="A26" s="1" t="s">
        <v>252</v>
      </c>
      <c r="B26" s="1" t="n">
        <v>1</v>
      </c>
      <c r="C26" s="27"/>
      <c r="D26" s="1" t="n">
        <v>0.806</v>
      </c>
      <c r="E26" s="1" t="n">
        <v>9</v>
      </c>
      <c r="F26" s="1" t="n">
        <v>1</v>
      </c>
      <c r="G26" s="1" t="n">
        <v>0</v>
      </c>
      <c r="H26" s="1" t="n">
        <v>1</v>
      </c>
      <c r="I26" s="1" t="n">
        <v>1</v>
      </c>
      <c r="J26" s="1" t="n">
        <v>74.5</v>
      </c>
      <c r="K26" s="1" t="n">
        <v>64</v>
      </c>
      <c r="L26" s="1" t="n">
        <v>1</v>
      </c>
      <c r="M26" s="1" t="n">
        <v>12.7</v>
      </c>
      <c r="N26" s="1" t="n">
        <f aca="false">352/1041</f>
        <v>0.3381364073</v>
      </c>
      <c r="O26" s="1" t="n">
        <v>0.233</v>
      </c>
      <c r="P26" s="1" t="n">
        <v>0.761</v>
      </c>
      <c r="Q26" s="1" t="n">
        <v>14</v>
      </c>
      <c r="R26" s="1" t="n">
        <v>15.5</v>
      </c>
      <c r="S26" s="1" t="n">
        <f aca="false">6/9</f>
        <v>0.666666666666667</v>
      </c>
    </row>
    <row r="27" customFormat="false" ht="12.75" hidden="false" customHeight="false" outlineLevel="0" collapsed="false">
      <c r="A27" s="1" t="s">
        <v>111</v>
      </c>
      <c r="B27" s="1" t="n">
        <v>1</v>
      </c>
      <c r="C27" s="27"/>
      <c r="D27" s="1" t="n">
        <v>0.625</v>
      </c>
      <c r="E27" s="1" t="n">
        <v>6</v>
      </c>
      <c r="F27" s="1" t="n">
        <v>1</v>
      </c>
      <c r="G27" s="1" t="n">
        <v>1</v>
      </c>
      <c r="H27" s="1" t="n">
        <v>7</v>
      </c>
      <c r="I27" s="1" t="n">
        <v>9</v>
      </c>
      <c r="J27" s="1" t="n">
        <v>77.4</v>
      </c>
      <c r="K27" s="1" t="n">
        <v>72.1</v>
      </c>
      <c r="L27" s="1" t="n">
        <v>3</v>
      </c>
      <c r="M27" s="1" t="n">
        <v>15.2</v>
      </c>
      <c r="N27" s="1" t="n">
        <f aca="false">457/1197</f>
        <v>0.3817878028</v>
      </c>
      <c r="O27" s="1" t="n">
        <v>0.199</v>
      </c>
      <c r="P27" s="1" t="n">
        <v>0.631</v>
      </c>
      <c r="Q27" s="1" t="n">
        <v>11</v>
      </c>
      <c r="R27" s="1" t="n">
        <v>7</v>
      </c>
      <c r="S27" s="1" t="n">
        <f aca="false">6/9</f>
        <v>0.666666666666667</v>
      </c>
    </row>
    <row r="28" customFormat="false" ht="12.75" hidden="false" customHeight="false" outlineLevel="0" collapsed="false">
      <c r="A28" s="1" t="s">
        <v>325</v>
      </c>
      <c r="B28" s="1" t="n">
        <v>1</v>
      </c>
      <c r="C28" s="27"/>
      <c r="D28" s="1" t="n">
        <v>0.733</v>
      </c>
      <c r="E28" s="1" t="n">
        <v>7</v>
      </c>
      <c r="F28" s="1" t="n">
        <v>0</v>
      </c>
      <c r="G28" s="1" t="n">
        <v>0</v>
      </c>
      <c r="H28" s="1" t="n">
        <v>3</v>
      </c>
      <c r="I28" s="1" t="n">
        <v>5</v>
      </c>
      <c r="J28" s="1" t="n">
        <v>72.4</v>
      </c>
      <c r="K28" s="1" t="n">
        <v>65.3</v>
      </c>
      <c r="L28" s="1" t="n">
        <v>1</v>
      </c>
      <c r="M28" s="1" t="n">
        <v>12.8</v>
      </c>
      <c r="N28" s="1" t="n">
        <f aca="false">377/1081</f>
        <v>0.3487511563</v>
      </c>
      <c r="O28" s="1" t="n">
        <v>0.357</v>
      </c>
      <c r="P28" s="1" t="n">
        <v>0.657</v>
      </c>
      <c r="Q28" s="1" t="n">
        <v>14</v>
      </c>
      <c r="R28" s="1" t="n">
        <v>10.3</v>
      </c>
      <c r="S28" s="1" t="n">
        <v>0.6</v>
      </c>
    </row>
    <row r="29" customFormat="false" ht="12.75" hidden="false" customHeight="false" outlineLevel="0" collapsed="false">
      <c r="A29" s="1" t="s">
        <v>194</v>
      </c>
      <c r="B29" s="1" t="n">
        <v>0</v>
      </c>
      <c r="C29" s="27"/>
      <c r="D29" s="1" t="n">
        <v>0.6</v>
      </c>
      <c r="E29" s="1" t="n">
        <v>7</v>
      </c>
      <c r="F29" s="1" t="n">
        <v>0</v>
      </c>
      <c r="G29" s="1" t="n">
        <v>1</v>
      </c>
      <c r="H29" s="1" t="n">
        <v>1</v>
      </c>
      <c r="I29" s="1" t="n">
        <v>8</v>
      </c>
      <c r="J29" s="1" t="n">
        <v>71.3</v>
      </c>
      <c r="K29" s="1" t="n">
        <v>67.5</v>
      </c>
      <c r="L29" s="1" t="n">
        <v>3</v>
      </c>
      <c r="M29" s="1" t="n">
        <v>14.6</v>
      </c>
      <c r="N29" s="1" t="n">
        <f aca="false">296/860</f>
        <v>0.3441860465</v>
      </c>
      <c r="O29" s="1" t="n">
        <v>0.266</v>
      </c>
      <c r="P29" s="1" t="n">
        <v>0.771</v>
      </c>
      <c r="Q29" s="1" t="n">
        <v>14</v>
      </c>
      <c r="R29" s="1" t="n">
        <v>5.7</v>
      </c>
      <c r="S29" s="1" t="n">
        <f aca="false">1/3</f>
        <v>0.3333333333</v>
      </c>
    </row>
    <row r="30" customFormat="false" ht="12.75" hidden="false" customHeight="false" outlineLevel="0" collapsed="false">
      <c r="A30" s="1" t="s">
        <v>425</v>
      </c>
      <c r="B30" s="1" t="n">
        <v>1</v>
      </c>
      <c r="C30" s="27"/>
      <c r="D30" s="1" t="n">
        <v>0.867</v>
      </c>
      <c r="E30" s="1" t="n">
        <v>8</v>
      </c>
      <c r="F30" s="1" t="n">
        <v>0</v>
      </c>
      <c r="G30" s="1" t="n">
        <v>1</v>
      </c>
      <c r="H30" s="1" t="n">
        <v>6</v>
      </c>
      <c r="I30" s="1" t="n">
        <v>3</v>
      </c>
      <c r="J30" s="1" t="n">
        <v>77.3</v>
      </c>
      <c r="K30" s="1" t="n">
        <v>66.6</v>
      </c>
      <c r="L30" s="1" t="n">
        <v>2</v>
      </c>
      <c r="M30" s="1" t="n">
        <v>15.3</v>
      </c>
      <c r="N30" s="1" t="n">
        <f aca="false">413/1144</f>
        <v>0.361013986</v>
      </c>
      <c r="O30" s="1" t="n">
        <v>0.256</v>
      </c>
      <c r="P30" s="1" t="n">
        <v>0.664</v>
      </c>
      <c r="Q30" s="1" t="n">
        <v>14</v>
      </c>
      <c r="R30" s="1" t="n">
        <v>15</v>
      </c>
      <c r="S30" s="1" t="n">
        <f aca="false">6/9</f>
        <v>0.6666666667</v>
      </c>
    </row>
    <row r="31" customFormat="false" ht="12.75" hidden="false" customHeight="false" outlineLevel="0" collapsed="false">
      <c r="A31" s="1" t="s">
        <v>551</v>
      </c>
      <c r="B31" s="1" t="n">
        <v>0</v>
      </c>
      <c r="C31" s="27"/>
      <c r="D31" s="1" t="n">
        <v>0.636</v>
      </c>
      <c r="E31" s="1" t="n">
        <v>8</v>
      </c>
      <c r="F31" s="1" t="n">
        <v>1</v>
      </c>
      <c r="G31" s="1" t="n">
        <v>0</v>
      </c>
      <c r="H31" s="1" t="n">
        <v>0</v>
      </c>
      <c r="I31" s="1" t="n">
        <v>3</v>
      </c>
      <c r="J31" s="1" t="n">
        <v>68.3</v>
      </c>
      <c r="K31" s="1" t="n">
        <v>67.6</v>
      </c>
      <c r="L31" s="1" t="n">
        <v>1</v>
      </c>
      <c r="M31" s="1" t="n">
        <v>13.5</v>
      </c>
      <c r="N31" s="1" t="n">
        <f aca="false">376/1217</f>
        <v>0.3089564503</v>
      </c>
      <c r="O31" s="1" t="n">
        <v>0.314</v>
      </c>
      <c r="P31" s="1" t="n">
        <v>0.74</v>
      </c>
      <c r="Q31" s="1" t="n">
        <v>15</v>
      </c>
      <c r="R31" s="1" t="n">
        <v>1.2</v>
      </c>
      <c r="S31" s="1" t="n">
        <f aca="false">6/7</f>
        <v>0.8571428571</v>
      </c>
    </row>
    <row r="32" customFormat="false" ht="12.75" hidden="false" customHeight="false" outlineLevel="0" collapsed="false">
      <c r="A32" s="1" t="s">
        <v>399</v>
      </c>
      <c r="B32" s="1" t="n">
        <v>0</v>
      </c>
      <c r="C32" s="27"/>
      <c r="D32" s="1" t="n">
        <v>0.824</v>
      </c>
      <c r="E32" s="1" t="n">
        <v>9</v>
      </c>
      <c r="F32" s="1" t="n">
        <v>1</v>
      </c>
      <c r="G32" s="1" t="n">
        <v>0</v>
      </c>
      <c r="H32" s="1" t="n">
        <v>1</v>
      </c>
      <c r="I32" s="1" t="n">
        <v>2</v>
      </c>
      <c r="J32" s="1" t="n">
        <v>80.3</v>
      </c>
      <c r="K32" s="1" t="n">
        <v>68.9</v>
      </c>
      <c r="L32" s="1" t="n">
        <v>1</v>
      </c>
      <c r="M32" s="1" t="n">
        <v>14</v>
      </c>
      <c r="N32" s="1" t="n">
        <f aca="false">407/1234</f>
        <v>0.329821718</v>
      </c>
      <c r="O32" s="1" t="n">
        <v>0.246</v>
      </c>
      <c r="P32" s="1" t="n">
        <v>0.71</v>
      </c>
      <c r="Q32" s="1" t="n">
        <v>14</v>
      </c>
      <c r="R32" s="1" t="n">
        <v>16</v>
      </c>
      <c r="S32" s="1" t="n">
        <v>0.75</v>
      </c>
    </row>
    <row r="33" customFormat="false" ht="12.75" hidden="false" customHeight="false" outlineLevel="0" collapsed="false">
      <c r="A33" s="1" t="s">
        <v>32</v>
      </c>
      <c r="B33" s="1" t="n">
        <v>2</v>
      </c>
      <c r="C33" s="27"/>
      <c r="D33" s="1" t="n">
        <v>0.735</v>
      </c>
      <c r="E33" s="1" t="n">
        <v>9</v>
      </c>
      <c r="F33" s="1" t="n">
        <v>1</v>
      </c>
      <c r="G33" s="1" t="n">
        <v>0</v>
      </c>
      <c r="H33" s="1" t="n">
        <v>5</v>
      </c>
      <c r="I33" s="1" t="n">
        <v>3</v>
      </c>
      <c r="J33" s="1" t="n">
        <v>75.9</v>
      </c>
      <c r="K33" s="1" t="n">
        <v>66.4</v>
      </c>
      <c r="L33" s="1" t="n">
        <v>0</v>
      </c>
      <c r="M33" s="1" t="n">
        <v>13.1</v>
      </c>
      <c r="N33" s="1" t="n">
        <f aca="false">414/1206</f>
        <v>0.3432835821</v>
      </c>
      <c r="O33" s="1" t="n">
        <v>0.2</v>
      </c>
      <c r="P33" s="1" t="n">
        <v>0.729</v>
      </c>
      <c r="Q33" s="1" t="n">
        <v>15</v>
      </c>
      <c r="R33" s="1" t="n">
        <v>13.5</v>
      </c>
      <c r="S33" s="1" t="n">
        <f aca="false">2/6</f>
        <v>0.3333333333</v>
      </c>
    </row>
    <row r="34" customFormat="false" ht="12.75" hidden="false" customHeight="false" outlineLevel="0" collapsed="false">
      <c r="A34" s="1" t="s">
        <v>51</v>
      </c>
      <c r="B34" s="1" t="n">
        <v>1</v>
      </c>
      <c r="C34" s="27"/>
      <c r="D34" s="1" t="n">
        <v>0.633</v>
      </c>
      <c r="E34" s="1" t="n">
        <v>5</v>
      </c>
      <c r="F34" s="1" t="n">
        <v>0</v>
      </c>
      <c r="G34" s="1" t="n">
        <v>1</v>
      </c>
      <c r="H34" s="1" t="n">
        <v>7</v>
      </c>
      <c r="I34" s="1" t="n">
        <v>7</v>
      </c>
      <c r="J34" s="1" t="n">
        <v>82.1</v>
      </c>
      <c r="K34" s="1" t="n">
        <v>74.8</v>
      </c>
      <c r="L34" s="1" t="n">
        <v>1</v>
      </c>
      <c r="M34" s="1" t="n">
        <v>15.4</v>
      </c>
      <c r="N34" s="1" t="n">
        <f aca="false">430/1120</f>
        <v>0.3839285714</v>
      </c>
      <c r="O34" s="1" t="n">
        <v>0.237</v>
      </c>
      <c r="P34" s="1" t="n">
        <v>0.688</v>
      </c>
      <c r="Q34" s="1" t="n">
        <v>14</v>
      </c>
      <c r="R34" s="1" t="n">
        <v>9.8</v>
      </c>
      <c r="S34" s="1" t="n">
        <f aca="false">2/9</f>
        <v>0.2222222222</v>
      </c>
    </row>
    <row r="35" customFormat="false" ht="12.75" hidden="false" customHeight="false" outlineLevel="0" collapsed="false">
      <c r="A35" s="1" t="s">
        <v>332</v>
      </c>
      <c r="B35" s="1" t="n">
        <v>1</v>
      </c>
      <c r="C35" s="27"/>
      <c r="D35" s="1" t="n">
        <v>0.677</v>
      </c>
      <c r="E35" s="1" t="n">
        <v>6</v>
      </c>
      <c r="F35" s="1" t="n">
        <v>0</v>
      </c>
      <c r="G35" s="1" t="n">
        <v>1</v>
      </c>
      <c r="H35" s="1" t="n">
        <v>9</v>
      </c>
      <c r="I35" s="1" t="n">
        <v>7</v>
      </c>
      <c r="J35" s="1" t="n">
        <v>72.9</v>
      </c>
      <c r="K35" s="1" t="n">
        <v>65.1</v>
      </c>
      <c r="L35" s="1" t="n">
        <v>2</v>
      </c>
      <c r="M35" s="1" t="n">
        <v>13.5</v>
      </c>
      <c r="N35" s="1" t="n">
        <f aca="false">352/1025</f>
        <v>0.3434146341</v>
      </c>
      <c r="O35" s="1" t="n">
        <v>0.344</v>
      </c>
      <c r="P35" s="1" t="n">
        <v>0.799</v>
      </c>
      <c r="Q35" s="1" t="n">
        <v>15</v>
      </c>
      <c r="R35" s="25" t="n">
        <v>11.8</v>
      </c>
      <c r="S35" s="1" t="n">
        <f aca="false">5/12</f>
        <v>0.4166666667</v>
      </c>
    </row>
    <row r="36" customFormat="false" ht="12.75" hidden="false" customHeight="false" outlineLevel="0" collapsed="false">
      <c r="A36" s="1" t="s">
        <v>195</v>
      </c>
      <c r="B36" s="1" t="n">
        <v>0</v>
      </c>
      <c r="C36" s="27"/>
      <c r="D36" s="1" t="n">
        <v>0.677</v>
      </c>
      <c r="E36" s="1" t="n">
        <v>9</v>
      </c>
      <c r="F36" s="1" t="n">
        <v>1</v>
      </c>
      <c r="G36" s="1" t="n">
        <v>0</v>
      </c>
      <c r="H36" s="1" t="n">
        <v>1</v>
      </c>
      <c r="I36" s="1" t="n">
        <v>1</v>
      </c>
      <c r="J36" s="1" t="n">
        <v>69.3</v>
      </c>
      <c r="K36" s="1" t="n">
        <v>65</v>
      </c>
      <c r="L36" s="1" t="n">
        <v>0</v>
      </c>
      <c r="M36" s="1" t="n">
        <v>12.5</v>
      </c>
      <c r="N36" s="1" t="n">
        <f aca="false">321/1074</f>
        <v>0.2988826816</v>
      </c>
      <c r="O36" s="1" t="n">
        <v>0.311</v>
      </c>
      <c r="P36" s="1" t="n">
        <v>0.738</v>
      </c>
      <c r="Q36" s="1" t="n">
        <v>13</v>
      </c>
      <c r="R36" s="1" t="n">
        <v>6.4</v>
      </c>
      <c r="S36" s="1" t="n">
        <f aca="false">8/12</f>
        <v>0.6666666667</v>
      </c>
    </row>
    <row r="37" customFormat="false" ht="12.75" hidden="false" customHeight="false" outlineLevel="0" collapsed="false">
      <c r="A37" s="1" t="s">
        <v>258</v>
      </c>
      <c r="B37" s="1" t="n">
        <v>4</v>
      </c>
      <c r="C37" s="27"/>
      <c r="D37" s="1" t="n">
        <v>0.886</v>
      </c>
      <c r="E37" s="1" t="n">
        <v>9</v>
      </c>
      <c r="F37" s="1" t="n">
        <v>1</v>
      </c>
      <c r="G37" s="1" t="n">
        <v>1</v>
      </c>
      <c r="H37" s="1" t="n">
        <v>7</v>
      </c>
      <c r="I37" s="1" t="n">
        <v>2</v>
      </c>
      <c r="J37" s="1" t="n">
        <v>77.1</v>
      </c>
      <c r="K37" s="1" t="n">
        <v>62.5</v>
      </c>
      <c r="L37" s="1" t="n">
        <v>3</v>
      </c>
      <c r="M37" s="1" t="n">
        <v>13.4</v>
      </c>
      <c r="N37" s="1" t="n">
        <f aca="false">398/1071</f>
        <v>0.3716153128</v>
      </c>
      <c r="O37" s="1" t="n">
        <v>0.184</v>
      </c>
      <c r="P37" s="1" t="n">
        <v>0.695</v>
      </c>
      <c r="Q37" s="1" t="n">
        <v>14</v>
      </c>
      <c r="R37" s="1" t="n">
        <v>21.5</v>
      </c>
      <c r="S37" s="1" t="n">
        <v>0.7</v>
      </c>
    </row>
    <row r="38" customFormat="false" ht="12.75" hidden="false" customHeight="false" outlineLevel="0" collapsed="false">
      <c r="A38" s="1" t="s">
        <v>375</v>
      </c>
      <c r="B38" s="1" t="n">
        <v>1</v>
      </c>
      <c r="C38" s="27"/>
      <c r="D38" s="1" t="n">
        <v>0.758</v>
      </c>
      <c r="E38" s="1" t="n">
        <v>9</v>
      </c>
      <c r="F38" s="1" t="n">
        <v>1</v>
      </c>
      <c r="G38" s="1" t="n">
        <v>0</v>
      </c>
      <c r="H38" s="1" t="n">
        <v>1</v>
      </c>
      <c r="I38" s="1" t="n">
        <v>2</v>
      </c>
      <c r="J38" s="1" t="n">
        <v>68.8</v>
      </c>
      <c r="K38" s="1" t="n">
        <v>63.5</v>
      </c>
      <c r="L38" s="1" t="n">
        <v>0</v>
      </c>
      <c r="M38" s="1" t="n">
        <v>14.3</v>
      </c>
      <c r="N38" s="1" t="n">
        <f aca="false">396/1078</f>
        <v>0.3673469388</v>
      </c>
      <c r="O38" s="1" t="n">
        <v>0.257</v>
      </c>
      <c r="P38" s="1" t="n">
        <v>0.736</v>
      </c>
      <c r="Q38" s="1" t="n">
        <v>10</v>
      </c>
      <c r="R38" s="1" t="n">
        <v>8.1</v>
      </c>
      <c r="S38" s="1" t="n">
        <v>0.75</v>
      </c>
    </row>
    <row r="39" customFormat="false" ht="12.75" hidden="false" customHeight="false" outlineLevel="0" collapsed="false">
      <c r="A39" s="1" t="s">
        <v>197</v>
      </c>
      <c r="B39" s="1" t="n">
        <v>2</v>
      </c>
      <c r="C39" s="27"/>
      <c r="D39" s="1" t="n">
        <v>0.861</v>
      </c>
      <c r="E39" s="1" t="n">
        <v>7</v>
      </c>
      <c r="F39" s="1" t="n">
        <v>0</v>
      </c>
      <c r="G39" s="1" t="n">
        <v>1</v>
      </c>
      <c r="H39" s="1" t="n">
        <v>7</v>
      </c>
      <c r="I39" s="1" t="n">
        <v>4</v>
      </c>
      <c r="J39" s="1" t="n">
        <v>67.9</v>
      </c>
      <c r="K39" s="1" t="n">
        <v>56.4</v>
      </c>
      <c r="L39" s="1" t="n">
        <v>2</v>
      </c>
      <c r="M39" s="1" t="n">
        <v>12.6</v>
      </c>
      <c r="N39" s="1" t="n">
        <f aca="false">441/1127</f>
        <v>0.3913043478</v>
      </c>
      <c r="O39" s="1" t="n">
        <v>0.183</v>
      </c>
      <c r="P39" s="1" t="n">
        <v>0.653</v>
      </c>
      <c r="Q39" s="1" t="n">
        <v>15</v>
      </c>
      <c r="R39" s="1" t="n">
        <v>18.5</v>
      </c>
      <c r="S39" s="1" t="n">
        <v>0.5</v>
      </c>
    </row>
    <row r="40" customFormat="false" ht="12.75" hidden="false" customHeight="false" outlineLevel="0" collapsed="false">
      <c r="A40" s="1" t="s">
        <v>124</v>
      </c>
      <c r="B40" s="1" t="n">
        <v>0</v>
      </c>
      <c r="C40" s="27"/>
      <c r="D40" s="1" t="n">
        <v>0.714</v>
      </c>
      <c r="E40" s="1" t="n">
        <v>9</v>
      </c>
      <c r="F40" s="1" t="n">
        <v>1</v>
      </c>
      <c r="G40" s="1" t="n">
        <v>0</v>
      </c>
      <c r="H40" s="1" t="n">
        <v>1</v>
      </c>
      <c r="I40" s="1" t="n">
        <v>1</v>
      </c>
      <c r="J40" s="1" t="n">
        <v>62.9</v>
      </c>
      <c r="K40" s="1" t="n">
        <v>56.8</v>
      </c>
      <c r="L40" s="1" t="n">
        <v>1</v>
      </c>
      <c r="M40" s="1" t="n">
        <v>13.3</v>
      </c>
      <c r="N40" s="1" t="n">
        <f aca="false">258/777</f>
        <v>0.332046332</v>
      </c>
      <c r="O40" s="1" t="n">
        <v>0.288</v>
      </c>
      <c r="P40" s="1" t="n">
        <v>0.711</v>
      </c>
      <c r="Q40" s="1" t="n">
        <v>17</v>
      </c>
      <c r="R40" s="1" t="n">
        <v>10.1</v>
      </c>
      <c r="S40" s="1" t="n">
        <f aca="false">4/9</f>
        <v>0.4444444444</v>
      </c>
    </row>
    <row r="41" customFormat="false" ht="12.75" hidden="false" customHeight="false" outlineLevel="0" collapsed="false">
      <c r="A41" s="1" t="s">
        <v>50</v>
      </c>
      <c r="B41" s="1" t="n">
        <v>0</v>
      </c>
      <c r="C41" s="27"/>
      <c r="D41" s="1" t="n">
        <v>0.69</v>
      </c>
      <c r="E41" s="1" t="n">
        <v>6</v>
      </c>
      <c r="F41" s="1" t="n">
        <v>0</v>
      </c>
      <c r="G41" s="1" t="n">
        <v>1</v>
      </c>
      <c r="H41" s="1" t="n">
        <v>7</v>
      </c>
      <c r="I41" s="1" t="n">
        <v>4</v>
      </c>
      <c r="J41" s="1" t="n">
        <v>71</v>
      </c>
      <c r="K41" s="1" t="n">
        <v>64.4</v>
      </c>
      <c r="L41" s="1" t="n">
        <v>1</v>
      </c>
      <c r="M41" s="1" t="n">
        <v>14.9</v>
      </c>
      <c r="N41" s="1" t="n">
        <f aca="false">360/957</f>
        <v>0.3761755486</v>
      </c>
      <c r="O41" s="1" t="n">
        <v>0.332</v>
      </c>
      <c r="P41" s="1" t="n">
        <v>0.72</v>
      </c>
      <c r="Q41" s="1" t="n">
        <v>17</v>
      </c>
      <c r="R41" s="1" t="n">
        <v>9.9</v>
      </c>
      <c r="S41" s="1" t="n">
        <f aca="false">4/7</f>
        <v>0.5714285714</v>
      </c>
    </row>
    <row r="42" customFormat="false" ht="12.75" hidden="false" customHeight="false" outlineLevel="0" collapsed="false">
      <c r="A42" s="1" t="s">
        <v>465</v>
      </c>
      <c r="B42" s="1" t="n">
        <v>0</v>
      </c>
      <c r="C42" s="27"/>
      <c r="D42" s="1" t="n">
        <v>0.606</v>
      </c>
      <c r="E42" s="1" t="n">
        <v>7</v>
      </c>
      <c r="F42" s="1" t="n">
        <v>0</v>
      </c>
      <c r="G42" s="1" t="n">
        <v>0</v>
      </c>
      <c r="H42" s="1" t="n">
        <v>3</v>
      </c>
      <c r="I42" s="1" t="n">
        <v>10</v>
      </c>
      <c r="J42" s="1" t="n">
        <v>64.5</v>
      </c>
      <c r="K42" s="1" t="n">
        <v>59.5</v>
      </c>
      <c r="L42" s="1" t="n">
        <v>0</v>
      </c>
      <c r="M42" s="1" t="n">
        <v>13.1</v>
      </c>
      <c r="N42" s="1" t="n">
        <f aca="false">402/1166</f>
        <v>0.3447684391</v>
      </c>
      <c r="O42" s="1" t="n">
        <v>0.264</v>
      </c>
      <c r="P42" s="1" t="n">
        <v>0.721</v>
      </c>
      <c r="Q42" s="1" t="n">
        <v>13</v>
      </c>
      <c r="R42" s="1" t="n">
        <v>7.8</v>
      </c>
      <c r="S42" s="1" t="n">
        <f aca="false">3/8</f>
        <v>0.375</v>
      </c>
    </row>
    <row r="43" customFormat="false" ht="12.75" hidden="false" customHeight="false" outlineLevel="0" collapsed="false">
      <c r="A43" s="1" t="s">
        <v>73</v>
      </c>
      <c r="B43" s="1" t="n">
        <v>1</v>
      </c>
      <c r="C43" s="27"/>
      <c r="D43" s="1" t="n">
        <v>0.677</v>
      </c>
      <c r="E43" s="1" t="n">
        <v>6</v>
      </c>
      <c r="F43" s="1" t="n">
        <v>0</v>
      </c>
      <c r="G43" s="1" t="n">
        <v>1</v>
      </c>
      <c r="H43" s="1" t="n">
        <v>6</v>
      </c>
      <c r="I43" s="1" t="n">
        <v>5</v>
      </c>
      <c r="J43" s="1" t="n">
        <v>71.9</v>
      </c>
      <c r="K43" s="1" t="n">
        <v>65.4</v>
      </c>
      <c r="L43" s="1" t="n">
        <v>0</v>
      </c>
      <c r="M43" s="1" t="n">
        <v>13</v>
      </c>
      <c r="N43" s="1" t="n">
        <f aca="false">339/1079</f>
        <v>0.3141797961</v>
      </c>
      <c r="O43" s="1" t="n">
        <v>0.243</v>
      </c>
      <c r="P43" s="1" t="n">
        <v>0.714</v>
      </c>
      <c r="Q43" s="1" t="n">
        <v>15</v>
      </c>
      <c r="R43" s="1" t="n">
        <v>9.5</v>
      </c>
      <c r="S43" s="1" t="n">
        <v>0.5</v>
      </c>
    </row>
    <row r="44" customFormat="false" ht="12.75" hidden="false" customHeight="false" outlineLevel="0" collapsed="false">
      <c r="A44" s="1" t="s">
        <v>126</v>
      </c>
      <c r="B44" s="1" t="n">
        <v>0</v>
      </c>
      <c r="C44" s="27"/>
      <c r="D44" s="1" t="n">
        <v>0.676</v>
      </c>
      <c r="E44" s="1" t="n">
        <v>4</v>
      </c>
      <c r="F44" s="1" t="n">
        <v>0</v>
      </c>
      <c r="G44" s="1" t="n">
        <v>1</v>
      </c>
      <c r="H44" s="1" t="n">
        <v>5</v>
      </c>
      <c r="I44" s="1" t="n">
        <v>6</v>
      </c>
      <c r="J44" s="1" t="n">
        <v>70.1</v>
      </c>
      <c r="K44" s="1" t="n">
        <v>62.6</v>
      </c>
      <c r="L44" s="1" t="n">
        <v>0</v>
      </c>
      <c r="M44" s="1" t="n">
        <v>13.2</v>
      </c>
      <c r="N44" s="1" t="n">
        <f aca="false">464/1257</f>
        <v>0.369132856</v>
      </c>
      <c r="O44" s="1" t="n">
        <v>0.284</v>
      </c>
      <c r="P44" s="1" t="n">
        <v>0.674</v>
      </c>
      <c r="Q44" s="1" t="n">
        <v>10</v>
      </c>
      <c r="R44" s="1" t="n">
        <v>11</v>
      </c>
      <c r="S44" s="1" t="n">
        <f aca="false">3/7</f>
        <v>0.4285714286</v>
      </c>
    </row>
    <row r="45" customFormat="false" ht="12.75" hidden="false" customHeight="false" outlineLevel="0" collapsed="false">
      <c r="A45" s="1" t="s">
        <v>552</v>
      </c>
      <c r="B45" s="1" t="n">
        <v>0</v>
      </c>
      <c r="C45" s="27"/>
      <c r="D45" s="1" t="n">
        <v>0.833</v>
      </c>
      <c r="E45" s="1" t="n">
        <v>8</v>
      </c>
      <c r="F45" s="1" t="n">
        <v>0</v>
      </c>
      <c r="G45" s="1" t="n">
        <v>0</v>
      </c>
      <c r="H45" s="1" t="n">
        <v>1</v>
      </c>
      <c r="I45" s="1" t="n">
        <v>3</v>
      </c>
      <c r="J45" s="1" t="n">
        <v>71</v>
      </c>
      <c r="K45" s="1" t="n">
        <v>63</v>
      </c>
      <c r="L45" s="1" t="n">
        <v>2</v>
      </c>
      <c r="M45" s="1" t="n">
        <v>12</v>
      </c>
      <c r="N45" s="1" t="n">
        <f aca="false">337/1038</f>
        <v>0.3246628131</v>
      </c>
      <c r="O45" s="1" t="n">
        <v>0.26</v>
      </c>
      <c r="P45" s="1" t="n">
        <v>0.689</v>
      </c>
      <c r="Q45" s="1" t="n">
        <v>15</v>
      </c>
      <c r="R45" s="1" t="n">
        <v>12.1</v>
      </c>
      <c r="S45" s="1" t="n">
        <v>0.7</v>
      </c>
    </row>
    <row r="46" customFormat="false" ht="12.75" hidden="false" customHeight="false" outlineLevel="0" collapsed="false">
      <c r="A46" s="25" t="s">
        <v>334</v>
      </c>
      <c r="B46" s="1" t="n">
        <v>3</v>
      </c>
      <c r="C46" s="27"/>
      <c r="D46" s="1" t="n">
        <v>0.938</v>
      </c>
      <c r="E46" s="1" t="n">
        <v>9</v>
      </c>
      <c r="F46" s="1" t="n">
        <v>0</v>
      </c>
      <c r="G46" s="1" t="n">
        <v>0</v>
      </c>
      <c r="H46" s="1" t="n">
        <v>6</v>
      </c>
      <c r="I46" s="1" t="n">
        <v>1</v>
      </c>
      <c r="J46" s="1" t="n">
        <v>77.4</v>
      </c>
      <c r="K46" s="1" t="n">
        <v>62.3</v>
      </c>
      <c r="L46" s="1" t="n">
        <v>2</v>
      </c>
      <c r="M46" s="1" t="n">
        <v>11.6</v>
      </c>
      <c r="N46" s="1" t="n">
        <f aca="false">165/568</f>
        <v>0.2904929577</v>
      </c>
      <c r="O46" s="1" t="n">
        <v>0.379</v>
      </c>
      <c r="P46" s="1" t="n">
        <v>0.702</v>
      </c>
      <c r="Q46" s="1" t="n">
        <v>16</v>
      </c>
      <c r="R46" s="1" t="n">
        <v>22.1</v>
      </c>
      <c r="S46" s="1" t="n">
        <f aca="false">5/6</f>
        <v>0.833333333333333</v>
      </c>
    </row>
    <row r="47" customFormat="false" ht="12.75" hidden="false" customHeight="false" outlineLevel="0" collapsed="false">
      <c r="A47" s="1" t="s">
        <v>335</v>
      </c>
      <c r="B47" s="1" t="n">
        <v>1</v>
      </c>
      <c r="C47" s="27"/>
      <c r="D47" s="1" t="n">
        <v>0.938</v>
      </c>
      <c r="E47" s="1" t="n">
        <v>9</v>
      </c>
      <c r="F47" s="1" t="n">
        <v>1</v>
      </c>
      <c r="G47" s="1" t="n">
        <v>1</v>
      </c>
      <c r="H47" s="1" t="n">
        <v>6</v>
      </c>
      <c r="I47" s="1" t="n">
        <v>1</v>
      </c>
      <c r="J47" s="1" t="n">
        <v>73.6</v>
      </c>
      <c r="K47" s="1" t="n">
        <v>60.5</v>
      </c>
      <c r="L47" s="1" t="n">
        <v>3</v>
      </c>
      <c r="M47" s="1" t="n">
        <v>14.1</v>
      </c>
      <c r="N47" s="1" t="n">
        <f aca="false">339/962</f>
        <v>0.3523908524</v>
      </c>
      <c r="O47" s="1" t="n">
        <v>0.215</v>
      </c>
      <c r="P47" s="1" t="n">
        <v>0.751</v>
      </c>
      <c r="Q47" s="1" t="n">
        <v>17</v>
      </c>
      <c r="R47" s="1" t="n">
        <v>19.5</v>
      </c>
      <c r="S47" s="1" t="n">
        <f aca="false">5/6</f>
        <v>0.833333333333333</v>
      </c>
    </row>
    <row r="48" customFormat="false" ht="12.75" hidden="false" customHeight="false" outlineLevel="0" collapsed="false">
      <c r="A48" s="1" t="s">
        <v>81</v>
      </c>
      <c r="B48" s="1" t="n">
        <v>2</v>
      </c>
      <c r="C48" s="27"/>
      <c r="D48" s="1" t="n">
        <v>0.742</v>
      </c>
      <c r="E48" s="1" t="n">
        <v>3</v>
      </c>
      <c r="F48" s="1" t="n">
        <v>0</v>
      </c>
      <c r="G48" s="1" t="n">
        <v>1</v>
      </c>
      <c r="H48" s="1" t="n">
        <v>5</v>
      </c>
      <c r="I48" s="1" t="n">
        <v>6</v>
      </c>
      <c r="J48" s="1" t="n">
        <v>73.1</v>
      </c>
      <c r="K48" s="1" t="n">
        <v>67.6</v>
      </c>
      <c r="L48" s="1" t="n">
        <v>2</v>
      </c>
      <c r="M48" s="1" t="n">
        <v>12.7</v>
      </c>
      <c r="N48" s="1" t="n">
        <f aca="false">390/1082</f>
        <v>0.3604436229</v>
      </c>
      <c r="O48" s="1" t="n">
        <v>0.186</v>
      </c>
      <c r="P48" s="1" t="n">
        <v>0.643</v>
      </c>
      <c r="Q48" s="1" t="n">
        <v>14</v>
      </c>
      <c r="R48" s="1" t="n">
        <v>8</v>
      </c>
      <c r="S48" s="1" t="n">
        <f aca="false">7/9</f>
        <v>0.7777777778</v>
      </c>
    </row>
    <row r="49" customFormat="false" ht="12.75" hidden="false" customHeight="false" outlineLevel="0" collapsed="false">
      <c r="A49" s="1" t="s">
        <v>33</v>
      </c>
      <c r="B49" s="1" t="n">
        <v>2</v>
      </c>
      <c r="C49" s="27"/>
      <c r="D49" s="1" t="n">
        <v>0.758</v>
      </c>
      <c r="E49" s="1" t="n">
        <v>6</v>
      </c>
      <c r="F49" s="1" t="n">
        <v>0</v>
      </c>
      <c r="G49" s="1" t="n">
        <v>1</v>
      </c>
      <c r="H49" s="1" t="n">
        <v>6</v>
      </c>
      <c r="I49" s="1" t="n">
        <v>5</v>
      </c>
      <c r="J49" s="1" t="n">
        <v>76.6</v>
      </c>
      <c r="K49" s="1" t="n">
        <v>66.5</v>
      </c>
      <c r="L49" s="1" t="n">
        <v>3</v>
      </c>
      <c r="M49" s="1" t="n">
        <v>11.8</v>
      </c>
      <c r="N49" s="1" t="n">
        <f aca="false">477/1207</f>
        <v>0.3951946976</v>
      </c>
      <c r="O49" s="1" t="n">
        <v>0.269</v>
      </c>
      <c r="P49" s="1" t="n">
        <v>0.68</v>
      </c>
      <c r="Q49" s="1" t="n">
        <v>16</v>
      </c>
      <c r="R49" s="1" t="n">
        <v>14.8</v>
      </c>
      <c r="S49" s="1" t="n">
        <v>0.8</v>
      </c>
    </row>
    <row r="50" customFormat="false" ht="12.75" hidden="false" customHeight="false" outlineLevel="0" collapsed="false">
      <c r="A50" s="1" t="s">
        <v>65</v>
      </c>
      <c r="B50" s="1" t="n">
        <v>1</v>
      </c>
      <c r="C50" s="27"/>
      <c r="D50" s="1" t="n">
        <v>0.676</v>
      </c>
      <c r="E50" s="1" t="n">
        <v>5</v>
      </c>
      <c r="F50" s="1" t="n">
        <v>0</v>
      </c>
      <c r="G50" s="1" t="n">
        <v>1</v>
      </c>
      <c r="H50" s="1" t="n">
        <v>4</v>
      </c>
      <c r="I50" s="1" t="n">
        <v>6</v>
      </c>
      <c r="J50" s="1" t="n">
        <v>73.2</v>
      </c>
      <c r="K50" s="1" t="n">
        <v>66.7</v>
      </c>
      <c r="L50" s="1" t="n">
        <v>1</v>
      </c>
      <c r="M50" s="1" t="n">
        <v>12.5</v>
      </c>
      <c r="N50" s="1" t="n">
        <f aca="false">430/1209</f>
        <v>0.3556658395</v>
      </c>
      <c r="O50" s="1" t="n">
        <v>0.15</v>
      </c>
      <c r="P50" s="1" t="n">
        <v>0.741</v>
      </c>
      <c r="Q50" s="1" t="n">
        <v>13</v>
      </c>
      <c r="R50" s="1" t="n">
        <v>9.4</v>
      </c>
      <c r="S50" s="1" t="n">
        <f aca="false">2/8</f>
        <v>0.25</v>
      </c>
    </row>
    <row r="51" customFormat="false" ht="12.75" hidden="false" customHeight="false" outlineLevel="0" collapsed="false">
      <c r="A51" s="1" t="s">
        <v>467</v>
      </c>
      <c r="B51" s="1" t="n">
        <v>0</v>
      </c>
      <c r="C51" s="27"/>
      <c r="D51" s="1" t="n">
        <v>0.576</v>
      </c>
      <c r="E51" s="1" t="n">
        <v>9</v>
      </c>
      <c r="F51" s="1" t="n">
        <v>1</v>
      </c>
      <c r="G51" s="1" t="n">
        <v>0</v>
      </c>
      <c r="H51" s="1" t="n">
        <v>0</v>
      </c>
      <c r="I51" s="1" t="n">
        <v>2</v>
      </c>
      <c r="J51" s="1" t="n">
        <v>72.7</v>
      </c>
      <c r="K51" s="1" t="n">
        <v>71.7</v>
      </c>
      <c r="L51" s="1" t="n">
        <v>0</v>
      </c>
      <c r="M51" s="1" t="n">
        <v>17.1</v>
      </c>
      <c r="N51" s="1" t="n">
        <f aca="false">393/1203</f>
        <v>0.3266832918</v>
      </c>
      <c r="O51" s="1" t="n">
        <v>0.292</v>
      </c>
      <c r="P51" s="1" t="n">
        <v>0.697</v>
      </c>
      <c r="Q51" s="1" t="n">
        <v>10</v>
      </c>
      <c r="R51" s="1" t="n">
        <v>1.4</v>
      </c>
      <c r="S51" s="1" t="n">
        <f aca="false">8/11</f>
        <v>0.7272727273</v>
      </c>
    </row>
    <row r="52" customFormat="false" ht="12.75" hidden="false" customHeight="false" outlineLevel="0" collapsed="false">
      <c r="A52" s="1" t="s">
        <v>264</v>
      </c>
      <c r="B52" s="1" t="n">
        <v>2</v>
      </c>
      <c r="C52" s="27"/>
      <c r="D52" s="1" t="n">
        <v>0.688</v>
      </c>
      <c r="E52" s="1" t="n">
        <v>7</v>
      </c>
      <c r="F52" s="1" t="n">
        <v>0</v>
      </c>
      <c r="G52" s="1" t="n">
        <v>0</v>
      </c>
      <c r="H52" s="1" t="n">
        <v>5</v>
      </c>
      <c r="I52" s="1" t="n">
        <v>6</v>
      </c>
      <c r="J52" s="1" t="n">
        <v>75.4</v>
      </c>
      <c r="K52" s="1" t="n">
        <v>69.3</v>
      </c>
      <c r="L52" s="1" t="n">
        <v>0</v>
      </c>
      <c r="M52" s="1" t="n">
        <v>13.5</v>
      </c>
      <c r="N52" s="1" t="n">
        <f aca="false">432/1281</f>
        <v>0.337236534</v>
      </c>
      <c r="O52" s="1" t="n">
        <v>0.264</v>
      </c>
      <c r="P52" s="1" t="n">
        <v>0.666</v>
      </c>
      <c r="Q52" s="1" t="n">
        <v>11</v>
      </c>
      <c r="R52" s="1" t="n">
        <v>8.4</v>
      </c>
      <c r="S52" s="1" t="n">
        <v>0.6</v>
      </c>
    </row>
    <row r="53" customFormat="false" ht="12.75" hidden="false" customHeight="false" outlineLevel="0" collapsed="false">
      <c r="A53" s="1" t="s">
        <v>571</v>
      </c>
      <c r="B53" s="1" t="n">
        <v>0</v>
      </c>
      <c r="C53" s="27"/>
      <c r="D53" s="1" t="n">
        <v>0.75</v>
      </c>
      <c r="E53" s="1" t="n">
        <v>10</v>
      </c>
      <c r="F53" s="1" t="n">
        <v>1</v>
      </c>
      <c r="G53" s="1" t="n">
        <v>0</v>
      </c>
      <c r="H53" s="1" t="n">
        <v>2</v>
      </c>
      <c r="I53" s="1" t="n">
        <v>1</v>
      </c>
      <c r="J53" s="1" t="n">
        <v>69.5</v>
      </c>
      <c r="K53" s="1" t="n">
        <v>63</v>
      </c>
      <c r="L53" s="1" t="n">
        <v>1</v>
      </c>
      <c r="M53" s="1" t="n">
        <v>12.7</v>
      </c>
      <c r="N53" s="1" t="n">
        <f aca="false">343/1030</f>
        <v>0.3330097087</v>
      </c>
      <c r="O53" s="1" t="n">
        <v>0.225</v>
      </c>
      <c r="P53" s="1" t="n">
        <v>0.636</v>
      </c>
      <c r="Q53" s="1" t="n">
        <v>17</v>
      </c>
      <c r="R53" s="1" t="n">
        <v>9.8</v>
      </c>
      <c r="S53" s="1" t="n">
        <f aca="false">6/9</f>
        <v>0.6666666667</v>
      </c>
    </row>
    <row r="54" customFormat="false" ht="12.75" hidden="false" customHeight="false" outlineLevel="0" collapsed="false">
      <c r="A54" s="25" t="s">
        <v>572</v>
      </c>
      <c r="B54" s="1" t="n">
        <v>0</v>
      </c>
      <c r="C54" s="27"/>
      <c r="D54" s="1" t="n">
        <v>0.7</v>
      </c>
      <c r="E54" s="1" t="n">
        <v>7</v>
      </c>
      <c r="F54" s="1" t="n">
        <v>0</v>
      </c>
      <c r="G54" s="1" t="n">
        <v>0</v>
      </c>
      <c r="H54" s="1" t="n">
        <v>5</v>
      </c>
      <c r="I54" s="1" t="n">
        <v>5</v>
      </c>
      <c r="J54" s="1" t="n">
        <v>79.1</v>
      </c>
      <c r="K54" s="1" t="n">
        <v>71.6</v>
      </c>
      <c r="L54" s="1" t="n">
        <v>2</v>
      </c>
      <c r="M54" s="1" t="n">
        <v>15.3</v>
      </c>
      <c r="N54" s="1" t="n">
        <f aca="false">428/1187</f>
        <v>0.3605728728</v>
      </c>
      <c r="O54" s="1" t="n">
        <v>0.198</v>
      </c>
      <c r="P54" s="1" t="n">
        <v>0.649</v>
      </c>
      <c r="Q54" s="1" t="n">
        <v>14</v>
      </c>
      <c r="R54" s="64" t="n">
        <v>10.3</v>
      </c>
      <c r="S54" s="1" t="n">
        <f aca="false">5/8</f>
        <v>0.625</v>
      </c>
    </row>
    <row r="55" customFormat="false" ht="12.75" hidden="false" customHeight="false" outlineLevel="0" collapsed="false">
      <c r="A55" s="1" t="s">
        <v>206</v>
      </c>
      <c r="B55" s="1" t="n">
        <v>0</v>
      </c>
      <c r="C55" s="27"/>
      <c r="D55" s="1" t="n">
        <v>0.727</v>
      </c>
      <c r="E55" s="1" t="n">
        <v>7</v>
      </c>
      <c r="F55" s="1" t="n">
        <v>1</v>
      </c>
      <c r="G55" s="1" t="n">
        <v>0</v>
      </c>
      <c r="H55" s="1" t="n">
        <v>2</v>
      </c>
      <c r="I55" s="1" t="n">
        <v>5</v>
      </c>
      <c r="J55" s="1" t="n">
        <v>64.7</v>
      </c>
      <c r="K55" s="1" t="n">
        <v>57.4</v>
      </c>
      <c r="L55" s="1" t="n">
        <v>2</v>
      </c>
      <c r="M55" s="1" t="n">
        <v>14</v>
      </c>
      <c r="N55" s="1" t="n">
        <f aca="false">303/896</f>
        <v>0.3381696429</v>
      </c>
      <c r="O55" s="1" t="n">
        <v>0.275</v>
      </c>
      <c r="P55" s="1" t="n">
        <v>0.723</v>
      </c>
      <c r="Q55" s="1" t="n">
        <v>13</v>
      </c>
      <c r="R55" s="1" t="n">
        <v>12.1</v>
      </c>
      <c r="S55" s="1" t="n">
        <f aca="false">5/6</f>
        <v>0.8333333333</v>
      </c>
    </row>
    <row r="56" customFormat="false" ht="12.75" hidden="false" customHeight="false" outlineLevel="0" collapsed="false">
      <c r="A56" s="1" t="s">
        <v>496</v>
      </c>
      <c r="B56" s="1" t="n">
        <v>0</v>
      </c>
      <c r="C56" s="27"/>
      <c r="D56" s="1" t="n">
        <v>0.75</v>
      </c>
      <c r="E56" s="1" t="n">
        <v>7</v>
      </c>
      <c r="F56" s="1" t="n">
        <v>0</v>
      </c>
      <c r="G56" s="1" t="n">
        <v>0</v>
      </c>
      <c r="H56" s="1" t="n">
        <v>1</v>
      </c>
      <c r="I56" s="1" t="n">
        <v>3</v>
      </c>
      <c r="J56" s="1" t="n">
        <v>77.5</v>
      </c>
      <c r="K56" s="1" t="n">
        <v>67.5</v>
      </c>
      <c r="L56" s="1" t="n">
        <v>0</v>
      </c>
      <c r="M56" s="1" t="n">
        <v>13.9</v>
      </c>
      <c r="N56" s="1" t="n">
        <f aca="false">409/1109</f>
        <v>0.3688007214</v>
      </c>
      <c r="O56" s="1" t="n">
        <v>0.244</v>
      </c>
      <c r="P56" s="1" t="n">
        <v>0.752</v>
      </c>
      <c r="Q56" s="1" t="n">
        <v>10</v>
      </c>
      <c r="R56" s="1" t="n">
        <v>14.1</v>
      </c>
      <c r="S56" s="1" t="n">
        <f aca="false">4/6</f>
        <v>0.6666666667</v>
      </c>
    </row>
    <row r="57" customFormat="false" ht="12.75" hidden="false" customHeight="false" outlineLevel="0" collapsed="false">
      <c r="A57" s="1" t="s">
        <v>267</v>
      </c>
      <c r="B57" s="1" t="n">
        <v>0</v>
      </c>
      <c r="C57" s="27"/>
      <c r="D57" s="1" t="n">
        <v>0.581</v>
      </c>
      <c r="E57" s="1" t="n">
        <v>8</v>
      </c>
      <c r="F57" s="1" t="n">
        <v>1</v>
      </c>
      <c r="G57" s="1" t="n">
        <v>0</v>
      </c>
      <c r="H57" s="1" t="n">
        <v>1</v>
      </c>
      <c r="I57" s="1" t="n">
        <v>3</v>
      </c>
      <c r="J57" s="1" t="n">
        <v>71.5</v>
      </c>
      <c r="K57" s="1" t="n">
        <v>71</v>
      </c>
      <c r="L57" s="1" t="n">
        <v>1</v>
      </c>
      <c r="M57" s="1" t="n">
        <v>16.1</v>
      </c>
      <c r="N57" s="1" t="n">
        <f aca="false">358/1152</f>
        <v>0.3107638889</v>
      </c>
      <c r="O57" s="1" t="n">
        <v>0.233</v>
      </c>
      <c r="P57" s="1" t="n">
        <v>0.705</v>
      </c>
      <c r="Q57" s="1" t="n">
        <v>14</v>
      </c>
      <c r="R57" s="1" t="n">
        <v>0.8</v>
      </c>
      <c r="S57" s="1" t="n">
        <v>0.5</v>
      </c>
    </row>
    <row r="58" customFormat="false" ht="12.75" hidden="false" customHeight="false" outlineLevel="0" collapsed="false">
      <c r="A58" s="1" t="s">
        <v>133</v>
      </c>
      <c r="B58" s="1" t="n">
        <v>2</v>
      </c>
      <c r="C58" s="27"/>
      <c r="D58" s="1" t="n">
        <v>0.697</v>
      </c>
      <c r="E58" s="1" t="n">
        <v>6</v>
      </c>
      <c r="F58" s="1" t="n">
        <v>0</v>
      </c>
      <c r="G58" s="1" t="n">
        <v>1</v>
      </c>
      <c r="H58" s="1" t="n">
        <v>4</v>
      </c>
      <c r="I58" s="1" t="n">
        <v>6</v>
      </c>
      <c r="J58" s="1" t="n">
        <v>73.2</v>
      </c>
      <c r="K58" s="1" t="n">
        <v>65</v>
      </c>
      <c r="L58" s="1" t="n">
        <v>0</v>
      </c>
      <c r="M58" s="1" t="n">
        <v>12.7</v>
      </c>
      <c r="N58" s="1" t="n">
        <f aca="false">371/1133</f>
        <v>0.3274492498</v>
      </c>
      <c r="O58" s="1" t="n">
        <v>0.326</v>
      </c>
      <c r="P58" s="1" t="n">
        <v>0.711</v>
      </c>
      <c r="Q58" s="1" t="n">
        <v>17</v>
      </c>
      <c r="R58" s="1" t="n">
        <v>12</v>
      </c>
      <c r="S58" s="1" t="n">
        <f aca="false">4/6</f>
        <v>0.6666666667</v>
      </c>
    </row>
    <row r="59" customFormat="false" ht="12.75" hidden="false" customHeight="false" outlineLevel="0" collapsed="false">
      <c r="A59" s="1" t="s">
        <v>134</v>
      </c>
      <c r="B59" s="1" t="n">
        <v>0</v>
      </c>
      <c r="C59" s="27"/>
      <c r="D59" s="1" t="n">
        <v>0.71</v>
      </c>
      <c r="E59" s="1" t="n">
        <v>7</v>
      </c>
      <c r="F59" s="1" t="n">
        <v>1</v>
      </c>
      <c r="G59" s="1" t="n">
        <v>0</v>
      </c>
      <c r="H59" s="1" t="n">
        <v>0</v>
      </c>
      <c r="I59" s="1" t="n">
        <v>1</v>
      </c>
      <c r="J59" s="1" t="n">
        <v>66</v>
      </c>
      <c r="K59" s="1" t="n">
        <v>62.4</v>
      </c>
      <c r="L59" s="1" t="n">
        <v>1</v>
      </c>
      <c r="M59" s="1" t="n">
        <v>12.5</v>
      </c>
      <c r="N59" s="1" t="n">
        <f aca="false">303/1049</f>
        <v>0.2888465205</v>
      </c>
      <c r="O59" s="1" t="n">
        <v>0.279</v>
      </c>
      <c r="P59" s="1" t="n">
        <v>0.679</v>
      </c>
      <c r="Q59" s="1" t="n">
        <v>16</v>
      </c>
      <c r="R59" s="1" t="n">
        <v>5.5</v>
      </c>
      <c r="S59" s="1" t="n">
        <f aca="false">6/9</f>
        <v>0.6666666667</v>
      </c>
    </row>
    <row r="60" customFormat="false" ht="12.75" hidden="false" customHeight="false" outlineLevel="0" collapsed="false">
      <c r="A60" s="1" t="s">
        <v>573</v>
      </c>
      <c r="B60" s="1" t="n">
        <v>0</v>
      </c>
      <c r="C60" s="27"/>
      <c r="D60" s="1" t="n">
        <v>0.742</v>
      </c>
      <c r="E60" s="1" t="n">
        <v>9</v>
      </c>
      <c r="F60" s="1" t="n">
        <v>1</v>
      </c>
      <c r="G60" s="1" t="n">
        <v>0</v>
      </c>
      <c r="H60" s="1" t="n">
        <v>0</v>
      </c>
      <c r="I60" s="1" t="n">
        <v>3</v>
      </c>
      <c r="J60" s="1" t="n">
        <v>71</v>
      </c>
      <c r="K60" s="1" t="n">
        <v>64.1</v>
      </c>
      <c r="L60" s="1" t="n">
        <v>0</v>
      </c>
      <c r="M60" s="1" t="n">
        <v>16.5</v>
      </c>
      <c r="N60" s="1" t="n">
        <f aca="false">370/1132</f>
        <v>0.3268551237</v>
      </c>
      <c r="O60" s="1" t="n">
        <v>0.283</v>
      </c>
      <c r="P60" s="1" t="n">
        <v>0.606</v>
      </c>
      <c r="Q60" s="1" t="n">
        <v>11</v>
      </c>
      <c r="R60" s="1" t="n">
        <v>10.1</v>
      </c>
      <c r="S60" s="1" t="n">
        <f aca="false">7/9</f>
        <v>0.7777777778</v>
      </c>
    </row>
    <row r="61" customFormat="false" ht="12.75" hidden="false" customHeight="false" outlineLevel="0" collapsed="false">
      <c r="A61" s="1" t="s">
        <v>136</v>
      </c>
      <c r="B61" s="1" t="n">
        <v>2</v>
      </c>
      <c r="C61" s="27"/>
      <c r="D61" s="1" t="n">
        <v>0.677</v>
      </c>
      <c r="E61" s="1" t="n">
        <v>6</v>
      </c>
      <c r="F61" s="1" t="n">
        <v>0</v>
      </c>
      <c r="G61" s="1" t="n">
        <v>1</v>
      </c>
      <c r="H61" s="1" t="n">
        <v>8</v>
      </c>
      <c r="I61" s="1" t="n">
        <v>7</v>
      </c>
      <c r="J61" s="1" t="n">
        <v>83.5</v>
      </c>
      <c r="K61" s="1" t="n">
        <v>76.1</v>
      </c>
      <c r="L61" s="1" t="n">
        <v>3</v>
      </c>
      <c r="M61" s="1" t="n">
        <v>14.7</v>
      </c>
      <c r="N61" s="1" t="n">
        <f aca="false">393/1051</f>
        <v>0.3739295909</v>
      </c>
      <c r="O61" s="1" t="n">
        <v>0.273</v>
      </c>
      <c r="P61" s="1" t="n">
        <v>0.712</v>
      </c>
      <c r="Q61" s="1" t="n">
        <v>13</v>
      </c>
      <c r="R61" s="1" t="n">
        <v>10</v>
      </c>
      <c r="S61" s="1" t="n">
        <v>0.5</v>
      </c>
    </row>
    <row r="62" customFormat="false" ht="12.75" hidden="false" customHeight="false" outlineLevel="0" collapsed="false">
      <c r="A62" s="1" t="s">
        <v>472</v>
      </c>
      <c r="B62" s="1" t="n">
        <v>0</v>
      </c>
      <c r="C62" s="27"/>
      <c r="D62" s="1" t="n">
        <v>0.613</v>
      </c>
      <c r="E62" s="1" t="n">
        <v>8</v>
      </c>
      <c r="F62" s="1" t="n">
        <v>0</v>
      </c>
      <c r="G62" s="1" t="n">
        <v>1</v>
      </c>
      <c r="H62" s="1" t="n">
        <v>5</v>
      </c>
      <c r="I62" s="1" t="n">
        <v>4</v>
      </c>
      <c r="J62" s="1" t="n">
        <v>82</v>
      </c>
      <c r="K62" s="1" t="n">
        <v>79</v>
      </c>
      <c r="L62" s="1" t="n">
        <v>0</v>
      </c>
      <c r="M62" s="1" t="n">
        <v>15.2</v>
      </c>
      <c r="N62" s="1" t="n">
        <f aca="false">378/1109</f>
        <v>0.3408476105</v>
      </c>
      <c r="O62" s="1" t="n">
        <v>0.237</v>
      </c>
      <c r="P62" s="1" t="n">
        <v>0.713</v>
      </c>
      <c r="Q62" s="1" t="n">
        <v>13</v>
      </c>
      <c r="R62" s="1" t="n">
        <v>4</v>
      </c>
      <c r="S62" s="1" t="n">
        <f aca="false">5/9</f>
        <v>0.5555555556</v>
      </c>
    </row>
    <row r="63" customFormat="false" ht="12.75" hidden="false" customHeight="false" outlineLevel="0" collapsed="false">
      <c r="A63" s="1" t="s">
        <v>338</v>
      </c>
      <c r="B63" s="1" t="n">
        <v>0</v>
      </c>
      <c r="C63" s="27"/>
      <c r="D63" s="1" t="n">
        <v>0.839</v>
      </c>
      <c r="E63" s="1" t="n">
        <v>8</v>
      </c>
      <c r="F63" s="1" t="n">
        <v>1</v>
      </c>
      <c r="G63" s="1" t="n">
        <v>0</v>
      </c>
      <c r="H63" s="1" t="n">
        <v>1</v>
      </c>
      <c r="I63" s="1" t="n">
        <v>0</v>
      </c>
      <c r="J63" s="1" t="n">
        <v>78.5</v>
      </c>
      <c r="K63" s="1" t="n">
        <v>66.1</v>
      </c>
      <c r="L63" s="1" t="n">
        <v>0</v>
      </c>
      <c r="M63" s="1" t="n">
        <v>13.3</v>
      </c>
      <c r="N63" s="1" t="n">
        <f aca="false">431/1141</f>
        <v>0.3777388256</v>
      </c>
      <c r="O63" s="1" t="n">
        <v>0.267</v>
      </c>
      <c r="P63" s="1" t="n">
        <v>0.721</v>
      </c>
      <c r="Q63" s="1" t="n">
        <v>16</v>
      </c>
      <c r="R63" s="1" t="n">
        <v>17.9</v>
      </c>
      <c r="S63" s="1" t="n">
        <v>1</v>
      </c>
    </row>
    <row r="64" customFormat="false" ht="12.75" hidden="false" customHeight="false" outlineLevel="0" collapsed="false">
      <c r="A64" s="1" t="s">
        <v>138</v>
      </c>
      <c r="B64" s="1" t="n">
        <v>1</v>
      </c>
      <c r="C64" s="27"/>
      <c r="D64" s="1" t="n">
        <v>0.781</v>
      </c>
      <c r="E64" s="1" t="n">
        <v>8</v>
      </c>
      <c r="F64" s="1" t="n">
        <v>1</v>
      </c>
      <c r="G64" s="1" t="n">
        <v>1</v>
      </c>
      <c r="H64" s="1" t="n">
        <v>5</v>
      </c>
      <c r="I64" s="1" t="n">
        <v>3</v>
      </c>
      <c r="J64" s="1" t="n">
        <v>68.4</v>
      </c>
      <c r="K64" s="1" t="n">
        <v>57</v>
      </c>
      <c r="L64" s="1" t="n">
        <v>3</v>
      </c>
      <c r="M64" s="1" t="n">
        <v>10</v>
      </c>
      <c r="N64" s="1" t="n">
        <f aca="false">300/968</f>
        <v>0.3099173554</v>
      </c>
      <c r="O64" s="1" t="n">
        <v>0.26</v>
      </c>
      <c r="P64" s="1" t="n">
        <v>0.719</v>
      </c>
      <c r="Q64" s="1" t="n">
        <v>12</v>
      </c>
      <c r="R64" s="1" t="n">
        <v>18.6</v>
      </c>
      <c r="S64" s="1" t="n">
        <f aca="false">4/6</f>
        <v>0.6666666667</v>
      </c>
    </row>
    <row r="65" customFormat="false" ht="12.75" hidden="false" customHeight="false" outlineLevel="0" collapsed="false">
      <c r="A65" s="1" t="s">
        <v>36</v>
      </c>
      <c r="B65" s="1" t="n">
        <v>3</v>
      </c>
      <c r="C65" s="27"/>
      <c r="D65" s="1" t="n">
        <v>0.703</v>
      </c>
      <c r="E65" s="1" t="n">
        <v>9</v>
      </c>
      <c r="F65" s="1" t="n">
        <v>1</v>
      </c>
      <c r="G65" s="1" t="n">
        <v>0</v>
      </c>
      <c r="H65" s="1" t="n">
        <v>7</v>
      </c>
      <c r="I65" s="1" t="n">
        <v>4</v>
      </c>
      <c r="J65" s="1" t="n">
        <v>71.2</v>
      </c>
      <c r="K65" s="1" t="n">
        <v>63.2</v>
      </c>
      <c r="L65" s="1" t="n">
        <v>3</v>
      </c>
      <c r="M65" s="1" t="n">
        <v>12.4</v>
      </c>
      <c r="N65" s="1" t="n">
        <f aca="false">405/1245</f>
        <v>0.3253012048</v>
      </c>
      <c r="O65" s="1" t="n">
        <v>0.224</v>
      </c>
      <c r="P65" s="1" t="n">
        <v>0.689</v>
      </c>
      <c r="Q65" s="1" t="n">
        <v>12</v>
      </c>
      <c r="R65" s="1" t="n">
        <v>12.1</v>
      </c>
      <c r="S65" s="1" t="n">
        <f aca="false">3/5</f>
        <v>0.6</v>
      </c>
    </row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C2" activeCellId="0" sqref="C2"/>
    </sheetView>
  </sheetViews>
  <sheetFormatPr defaultRowHeight="12.75" zeroHeight="false" outlineLevelRow="0" outlineLevelCol="0"/>
  <cols>
    <col collapsed="false" customWidth="true" hidden="false" outlineLevel="0" max="1" min="1" style="0" width="23.14"/>
    <col collapsed="false" customWidth="true" hidden="false" outlineLevel="0" max="20" min="2" style="0" width="17.29"/>
    <col collapsed="false" customWidth="true" hidden="false" outlineLevel="0" max="1025" min="21" style="0" width="14.43"/>
  </cols>
  <sheetData>
    <row r="1" customFormat="false" ht="12.75" hidden="false" customHeight="false" outlineLevel="0" collapsed="false">
      <c r="A1" s="1" t="s">
        <v>2</v>
      </c>
      <c r="B1" s="1" t="s">
        <v>213</v>
      </c>
      <c r="D1" s="1" t="s">
        <v>473</v>
      </c>
      <c r="E1" s="1" t="s">
        <v>498</v>
      </c>
      <c r="F1" s="1" t="s">
        <v>442</v>
      </c>
      <c r="G1" s="1" t="s">
        <v>443</v>
      </c>
      <c r="H1" s="1" t="s">
        <v>444</v>
      </c>
      <c r="I1" s="1" t="s">
        <v>445</v>
      </c>
      <c r="J1" s="1" t="s">
        <v>474</v>
      </c>
      <c r="K1" s="1" t="s">
        <v>475</v>
      </c>
      <c r="L1" s="1" t="s">
        <v>446</v>
      </c>
      <c r="M1" s="1" t="s">
        <v>447</v>
      </c>
      <c r="N1" s="1" t="s">
        <v>448</v>
      </c>
      <c r="O1" s="1" t="s">
        <v>476</v>
      </c>
      <c r="P1" s="1" t="s">
        <v>16</v>
      </c>
      <c r="Q1" s="1" t="s">
        <v>451</v>
      </c>
      <c r="R1" s="1" t="s">
        <v>546</v>
      </c>
      <c r="S1" s="1" t="s">
        <v>453</v>
      </c>
    </row>
    <row r="2" customFormat="false" ht="12.75" hidden="false" customHeight="false" outlineLevel="0" collapsed="false">
      <c r="A2" s="1" t="s">
        <v>57</v>
      </c>
      <c r="B2" s="1" t="n">
        <v>0</v>
      </c>
      <c r="D2" s="1" t="n">
        <v>0.586</v>
      </c>
      <c r="E2" s="1" t="n">
        <v>4</v>
      </c>
      <c r="F2" s="1" t="n">
        <v>0</v>
      </c>
      <c r="G2" s="1" t="n">
        <v>1</v>
      </c>
      <c r="H2" s="1" t="n">
        <v>5</v>
      </c>
      <c r="I2" s="1" t="n">
        <v>6</v>
      </c>
      <c r="J2" s="1" t="n">
        <v>69</v>
      </c>
      <c r="K2" s="1" t="n">
        <v>65.1</v>
      </c>
      <c r="L2" s="1" t="n">
        <v>1</v>
      </c>
      <c r="M2" s="1" t="n">
        <v>13.1</v>
      </c>
      <c r="N2" s="1" t="n">
        <f aca="false">389/1079</f>
        <v>0.3605189991</v>
      </c>
      <c r="O2" s="1" t="n">
        <f aca="false">183*3/2010</f>
        <v>0.2731343284</v>
      </c>
      <c r="P2" s="1" t="n">
        <v>0.713</v>
      </c>
      <c r="Q2" s="1" t="n">
        <v>10</v>
      </c>
      <c r="R2" s="1" t="n">
        <v>6</v>
      </c>
      <c r="S2" s="1" t="n">
        <v>0.166666666667</v>
      </c>
    </row>
    <row r="3" customFormat="false" ht="12.75" hidden="false" customHeight="false" outlineLevel="0" collapsed="false">
      <c r="A3" s="1" t="s">
        <v>26</v>
      </c>
      <c r="B3" s="1" t="n">
        <v>3</v>
      </c>
      <c r="D3" s="1" t="n">
        <v>0.875</v>
      </c>
      <c r="E3" s="1" t="n">
        <v>9</v>
      </c>
      <c r="F3" s="1" t="n">
        <v>0</v>
      </c>
      <c r="G3" s="1" t="n">
        <v>1</v>
      </c>
      <c r="H3" s="1" t="n">
        <v>10</v>
      </c>
      <c r="I3" s="1" t="n">
        <v>2</v>
      </c>
      <c r="J3" s="1" t="n">
        <v>85.2</v>
      </c>
      <c r="K3" s="1" t="n">
        <v>70.7</v>
      </c>
      <c r="L3" s="1" t="n">
        <v>3</v>
      </c>
      <c r="M3" s="1" t="n">
        <v>14.6</v>
      </c>
      <c r="N3" s="1" t="n">
        <f aca="false">479/1374</f>
        <v>0.3486171761</v>
      </c>
      <c r="O3" s="1" t="n">
        <f aca="false">228*3/2725</f>
        <v>0.2510091743</v>
      </c>
      <c r="P3" s="1" t="n">
        <v>0.709</v>
      </c>
      <c r="Q3" s="1" t="n">
        <v>11</v>
      </c>
      <c r="R3" s="1" t="n">
        <v>18.8</v>
      </c>
      <c r="S3" s="1" t="n">
        <v>0.5</v>
      </c>
    </row>
    <row r="4" customFormat="false" ht="12.75" hidden="false" customHeight="false" outlineLevel="0" collapsed="false">
      <c r="A4" s="1" t="s">
        <v>317</v>
      </c>
      <c r="B4" s="1" t="n">
        <v>1</v>
      </c>
      <c r="D4" s="1" t="n">
        <v>0.875</v>
      </c>
      <c r="E4" s="1" t="n">
        <v>6</v>
      </c>
      <c r="F4" s="1" t="n">
        <v>0</v>
      </c>
      <c r="G4" s="1" t="n">
        <v>1</v>
      </c>
      <c r="H4" s="1" t="n">
        <v>4</v>
      </c>
      <c r="I4" s="1" t="n">
        <v>10</v>
      </c>
      <c r="J4" s="1" t="n">
        <v>77</v>
      </c>
      <c r="K4" s="1" t="n">
        <v>70.5</v>
      </c>
      <c r="L4" s="1" t="n">
        <v>0</v>
      </c>
      <c r="M4" s="1" t="n">
        <v>13.7</v>
      </c>
      <c r="N4" s="1" t="n">
        <f aca="false">434/1177</f>
        <v>0.3687340697</v>
      </c>
      <c r="O4" s="1" t="n">
        <f aca="false">131*3/2464</f>
        <v>0.1594967532</v>
      </c>
      <c r="P4" s="1" t="n">
        <v>0.674</v>
      </c>
      <c r="Q4" s="1" t="n">
        <v>11</v>
      </c>
      <c r="R4" s="1" t="n">
        <v>9.2</v>
      </c>
      <c r="S4" s="1" t="n">
        <v>0.375</v>
      </c>
    </row>
    <row r="5" customFormat="false" ht="12.75" hidden="false" customHeight="false" outlineLevel="0" collapsed="false">
      <c r="A5" s="1" t="s">
        <v>77</v>
      </c>
      <c r="B5" s="1" t="n">
        <v>2</v>
      </c>
      <c r="D5" s="1" t="n">
        <v>0.647</v>
      </c>
      <c r="E5" s="1" t="n">
        <v>4</v>
      </c>
      <c r="F5" s="1" t="n">
        <v>0</v>
      </c>
      <c r="G5" s="1" t="n">
        <v>1</v>
      </c>
      <c r="H5" s="1" t="n">
        <v>4</v>
      </c>
      <c r="I5" s="1" t="n">
        <v>8</v>
      </c>
      <c r="J5" s="1" t="n">
        <v>70.8</v>
      </c>
      <c r="K5" s="1" t="n">
        <v>65.7</v>
      </c>
      <c r="L5" s="1" t="n">
        <v>1</v>
      </c>
      <c r="M5" s="1" t="n">
        <v>15.9</v>
      </c>
      <c r="N5" s="1" t="n">
        <f aca="false">417/1200</f>
        <v>0.3475</v>
      </c>
      <c r="O5" s="1" t="n">
        <f aca="false">198*3/2408</f>
        <v>0.2466777409</v>
      </c>
      <c r="P5" s="1" t="n">
        <v>0.66</v>
      </c>
      <c r="Q5" s="1" t="n">
        <v>12</v>
      </c>
      <c r="R5" s="1" t="n">
        <v>7.4</v>
      </c>
      <c r="S5" s="1" t="n">
        <v>0.625</v>
      </c>
    </row>
    <row r="6" customFormat="false" ht="12.75" hidden="false" customHeight="false" outlineLevel="0" collapsed="false">
      <c r="A6" s="1" t="s">
        <v>178</v>
      </c>
      <c r="B6" s="1" t="n">
        <v>0</v>
      </c>
      <c r="D6" s="1" t="n">
        <v>0.742</v>
      </c>
      <c r="E6" s="1" t="n">
        <v>9</v>
      </c>
      <c r="F6" s="1" t="n">
        <v>1</v>
      </c>
      <c r="G6" s="1" t="n">
        <v>0</v>
      </c>
      <c r="H6" s="1" t="n">
        <v>1</v>
      </c>
      <c r="I6" s="1" t="n">
        <v>1</v>
      </c>
      <c r="J6" s="1" t="n">
        <v>71.1</v>
      </c>
      <c r="K6" s="1" t="n">
        <v>67.8</v>
      </c>
      <c r="L6" s="1" t="n">
        <v>0</v>
      </c>
      <c r="M6" s="1" t="n">
        <v>15.4</v>
      </c>
      <c r="N6" s="1" t="n">
        <f aca="false">339/1084</f>
        <v>0.3127306273</v>
      </c>
      <c r="O6" s="1" t="n">
        <f aca="false">192*3/2204</f>
        <v>0.2613430127</v>
      </c>
      <c r="P6" s="1" t="n">
        <v>0.69</v>
      </c>
      <c r="Q6" s="1" t="n">
        <v>10</v>
      </c>
      <c r="R6" s="1" t="n">
        <v>4.9</v>
      </c>
      <c r="S6" s="1" t="n">
        <v>0.818</v>
      </c>
    </row>
    <row r="7" customFormat="false" ht="12.75" hidden="false" customHeight="false" outlineLevel="0" collapsed="false">
      <c r="A7" s="1" t="s">
        <v>428</v>
      </c>
      <c r="B7" s="1" t="n">
        <v>0</v>
      </c>
      <c r="D7" s="1" t="n">
        <v>0.719</v>
      </c>
      <c r="E7" s="1" t="n">
        <v>7</v>
      </c>
      <c r="F7" s="1" t="n">
        <v>0</v>
      </c>
      <c r="G7" s="1" t="n">
        <v>0</v>
      </c>
      <c r="H7" s="1" t="n">
        <v>5</v>
      </c>
      <c r="I7" s="1" t="n">
        <v>6</v>
      </c>
      <c r="J7" s="1" t="n">
        <v>71.8</v>
      </c>
      <c r="K7" s="1" t="n">
        <v>63.5</v>
      </c>
      <c r="L7" s="1" t="n">
        <v>1</v>
      </c>
      <c r="M7" s="1" t="n">
        <v>13.6</v>
      </c>
      <c r="N7" s="1" t="n">
        <f aca="false">353/1134</f>
        <v>0.311287478</v>
      </c>
      <c r="O7" s="1" t="n">
        <f aca="false">194*3/2299</f>
        <v>0.253153545</v>
      </c>
      <c r="P7" s="1" t="n">
        <v>0.755</v>
      </c>
      <c r="Q7" s="1" t="n">
        <v>9</v>
      </c>
      <c r="R7" s="1" t="n">
        <v>12.7</v>
      </c>
      <c r="S7" s="1" t="n">
        <v>0.5</v>
      </c>
    </row>
    <row r="8" customFormat="false" ht="12.75" hidden="false" customHeight="false" outlineLevel="0" collapsed="false">
      <c r="A8" s="1" t="s">
        <v>68</v>
      </c>
      <c r="B8" s="1" t="n">
        <v>2</v>
      </c>
      <c r="D8" s="1" t="n">
        <v>0.818</v>
      </c>
      <c r="E8" s="1" t="n">
        <v>8</v>
      </c>
      <c r="F8" s="1" t="n">
        <v>0</v>
      </c>
      <c r="G8" s="1" t="n">
        <v>0</v>
      </c>
      <c r="H8" s="1" t="n">
        <v>2</v>
      </c>
      <c r="I8" s="1" t="n">
        <v>3</v>
      </c>
      <c r="J8" s="1" t="n">
        <v>67.5</v>
      </c>
      <c r="K8" s="1" t="n">
        <v>60.2</v>
      </c>
      <c r="L8" s="1" t="n">
        <v>2</v>
      </c>
      <c r="M8" s="1" t="n">
        <v>10.7</v>
      </c>
      <c r="N8" s="1" t="n">
        <f aca="false">261/923</f>
        <v>0.2827735645</v>
      </c>
      <c r="O8" s="1" t="n">
        <f aca="false">274*3/2229</f>
        <v>0.3687752355</v>
      </c>
      <c r="P8" s="1" t="n">
        <v>0.719</v>
      </c>
      <c r="Q8" s="1" t="n">
        <v>11</v>
      </c>
      <c r="R8" s="1" t="n">
        <v>12.2</v>
      </c>
      <c r="S8" s="1" t="n">
        <v>0.818</v>
      </c>
    </row>
    <row r="9" customFormat="false" ht="12.75" hidden="false" customHeight="false" outlineLevel="0" collapsed="false">
      <c r="A9" s="1" t="s">
        <v>179</v>
      </c>
      <c r="B9" s="1" t="n">
        <v>1</v>
      </c>
      <c r="D9" s="1" t="n">
        <v>0.71</v>
      </c>
      <c r="E9" s="1" t="n">
        <v>6</v>
      </c>
      <c r="F9" s="1" t="n">
        <v>0</v>
      </c>
      <c r="G9" s="1" t="n">
        <v>1</v>
      </c>
      <c r="H9" s="1" t="n">
        <v>4</v>
      </c>
      <c r="I9" s="1" t="n">
        <v>5</v>
      </c>
      <c r="J9" s="1" t="n">
        <v>74.2</v>
      </c>
      <c r="K9" s="1" t="n">
        <v>70</v>
      </c>
      <c r="L9" s="1" t="n">
        <v>2</v>
      </c>
      <c r="M9" s="1" t="n">
        <v>14</v>
      </c>
      <c r="N9" s="1" t="n">
        <f aca="false">350/1095</f>
        <v>0.3196347032</v>
      </c>
      <c r="O9" s="1" t="n">
        <f aca="false">198*3/2301</f>
        <v>0.258148631</v>
      </c>
      <c r="P9" s="1" t="n">
        <v>0.681</v>
      </c>
      <c r="Q9" s="1" t="n">
        <v>11</v>
      </c>
      <c r="R9" s="1" t="n">
        <v>6</v>
      </c>
      <c r="S9" s="1" t="n">
        <v>0.571</v>
      </c>
    </row>
    <row r="10" customFormat="false" ht="12.75" hidden="false" customHeight="false" outlineLevel="0" collapsed="false">
      <c r="A10" s="1" t="s">
        <v>574</v>
      </c>
      <c r="B10" s="1" t="n">
        <v>1</v>
      </c>
      <c r="D10" s="1" t="n">
        <v>0.781</v>
      </c>
      <c r="E10" s="1" t="n">
        <v>8</v>
      </c>
      <c r="F10" s="1" t="n">
        <v>1</v>
      </c>
      <c r="G10" s="1" t="n">
        <v>0</v>
      </c>
      <c r="H10" s="1" t="n">
        <v>0</v>
      </c>
      <c r="I10" s="1" t="n">
        <v>0</v>
      </c>
      <c r="J10" s="1" t="n">
        <v>79.8</v>
      </c>
      <c r="K10" s="1" t="n">
        <v>73.3</v>
      </c>
      <c r="L10" s="1" t="n">
        <v>0</v>
      </c>
      <c r="M10" s="1" t="n">
        <v>18</v>
      </c>
      <c r="N10" s="1" t="n">
        <f aca="false">347/1082</f>
        <v>0.320702403</v>
      </c>
      <c r="O10" s="1" t="n">
        <f aca="false">224*3/2553</f>
        <v>0.2632197415</v>
      </c>
      <c r="P10" s="1" t="n">
        <v>0.762</v>
      </c>
      <c r="Q10" s="1" t="n">
        <v>12</v>
      </c>
      <c r="R10" s="1" t="n">
        <v>8.9</v>
      </c>
      <c r="S10" s="1" t="n">
        <v>0.875</v>
      </c>
    </row>
    <row r="11" customFormat="false" ht="12.75" hidden="false" customHeight="false" outlineLevel="0" collapsed="false">
      <c r="A11" s="1" t="s">
        <v>34</v>
      </c>
      <c r="B11" s="1" t="n">
        <v>0</v>
      </c>
      <c r="D11" s="1" t="n">
        <v>0.586</v>
      </c>
      <c r="E11" s="1" t="n">
        <v>4</v>
      </c>
      <c r="F11" s="1" t="n">
        <v>0</v>
      </c>
      <c r="G11" s="1" t="n">
        <v>1</v>
      </c>
      <c r="H11" s="1" t="n">
        <v>3</v>
      </c>
      <c r="I11" s="1" t="n">
        <v>6</v>
      </c>
      <c r="J11" s="1" t="n">
        <v>67.4</v>
      </c>
      <c r="K11" s="1" t="n">
        <v>61.9</v>
      </c>
      <c r="L11" s="1" t="n">
        <v>3</v>
      </c>
      <c r="M11" s="1" t="n">
        <v>10.6</v>
      </c>
      <c r="N11" s="1" t="n">
        <f aca="false">366/1065</f>
        <v>0.3436619718</v>
      </c>
      <c r="O11" s="1" t="n">
        <f aca="false">207*3/2023</f>
        <v>0.3069698468</v>
      </c>
      <c r="P11" s="1" t="n">
        <v>0.69</v>
      </c>
      <c r="Q11" s="1" t="n">
        <v>10</v>
      </c>
      <c r="R11" s="1" t="n">
        <v>8.3</v>
      </c>
      <c r="S11" s="1" t="n">
        <v>0.5</v>
      </c>
    </row>
    <row r="12" customFormat="false" ht="12.75" hidden="false" customHeight="false" outlineLevel="0" collapsed="false">
      <c r="A12" s="1" t="s">
        <v>181</v>
      </c>
      <c r="B12" s="1" t="n">
        <v>0</v>
      </c>
      <c r="D12" s="1" t="n">
        <v>0.625</v>
      </c>
      <c r="E12" s="1" t="n">
        <v>6</v>
      </c>
      <c r="F12" s="1" t="n">
        <v>0</v>
      </c>
      <c r="G12" s="1" t="n">
        <v>1</v>
      </c>
      <c r="H12" s="1" t="n">
        <v>6</v>
      </c>
      <c r="I12" s="1" t="n">
        <v>4</v>
      </c>
      <c r="J12" s="1" t="n">
        <v>75.2</v>
      </c>
      <c r="K12" s="1" t="n">
        <v>70.3</v>
      </c>
      <c r="L12" s="1" t="n">
        <v>0</v>
      </c>
      <c r="M12" s="1" t="n">
        <v>14</v>
      </c>
      <c r="N12" s="1" t="n">
        <f aca="false">461/1351</f>
        <v>0.3412287195</v>
      </c>
      <c r="O12" s="1" t="n">
        <f aca="false">159*3/2405</f>
        <v>0.1983367983</v>
      </c>
      <c r="P12" s="1" t="n">
        <v>0.669</v>
      </c>
      <c r="Q12" s="1" t="n">
        <v>11</v>
      </c>
      <c r="R12" s="1" t="n">
        <v>6.7</v>
      </c>
      <c r="S12" s="1" t="n">
        <v>0.556</v>
      </c>
    </row>
    <row r="13" customFormat="false" ht="12.75" hidden="false" customHeight="false" outlineLevel="0" collapsed="false">
      <c r="A13" s="1" t="s">
        <v>362</v>
      </c>
      <c r="B13" s="1" t="n">
        <v>0</v>
      </c>
      <c r="D13" s="1" t="n">
        <v>0.576</v>
      </c>
      <c r="E13" s="1" t="n">
        <v>5</v>
      </c>
      <c r="F13" s="1" t="n">
        <v>1</v>
      </c>
      <c r="G13" s="1" t="n">
        <v>0</v>
      </c>
      <c r="H13" s="1" t="n">
        <v>2</v>
      </c>
      <c r="I13" s="1" t="n">
        <v>6</v>
      </c>
      <c r="J13" s="1" t="n">
        <v>74.2</v>
      </c>
      <c r="K13" s="1" t="n">
        <v>71.6</v>
      </c>
      <c r="L13" s="1" t="n">
        <v>0</v>
      </c>
      <c r="M13" s="1" t="n">
        <v>16.8</v>
      </c>
      <c r="N13" s="1" t="n">
        <f aca="false">374/1175</f>
        <v>0.3182978723</v>
      </c>
      <c r="O13" s="1" t="n">
        <f aca="false">137*3/2450</f>
        <v>0.167755102</v>
      </c>
      <c r="P13" s="1" t="n">
        <v>0.697</v>
      </c>
      <c r="Q13" s="1" t="n">
        <v>11</v>
      </c>
      <c r="R13" s="1" t="n">
        <v>3.8</v>
      </c>
      <c r="S13" s="1" t="n">
        <v>0.6</v>
      </c>
    </row>
    <row r="14" customFormat="false" ht="12.75" hidden="false" customHeight="false" outlineLevel="0" collapsed="false">
      <c r="A14" s="1" t="s">
        <v>182</v>
      </c>
      <c r="B14" s="1" t="n">
        <v>2</v>
      </c>
      <c r="D14" s="1" t="n">
        <v>0.697</v>
      </c>
      <c r="E14" s="1" t="n">
        <v>6</v>
      </c>
      <c r="F14" s="1" t="n">
        <v>0</v>
      </c>
      <c r="G14" s="1" t="n">
        <v>1</v>
      </c>
      <c r="H14" s="1" t="n">
        <v>5</v>
      </c>
      <c r="I14" s="1" t="n">
        <v>3</v>
      </c>
      <c r="J14" s="1" t="n">
        <v>79.5</v>
      </c>
      <c r="K14" s="1" t="n">
        <v>71.2</v>
      </c>
      <c r="L14" s="1" t="n">
        <v>2</v>
      </c>
      <c r="M14" s="1" t="n">
        <v>15.4</v>
      </c>
      <c r="N14" s="1" t="n">
        <f aca="false">486/1405</f>
        <v>0.3459074733</v>
      </c>
      <c r="O14" s="1" t="n">
        <f aca="false">196*3/2622</f>
        <v>0.2242562929</v>
      </c>
      <c r="P14" s="1" t="n">
        <v>0.677</v>
      </c>
      <c r="Q14" s="1" t="n">
        <v>10</v>
      </c>
      <c r="R14" s="1" t="n">
        <v>11.2</v>
      </c>
      <c r="S14" s="1" t="n">
        <v>0.25</v>
      </c>
    </row>
    <row r="15" customFormat="false" ht="12.75" hidden="false" customHeight="false" outlineLevel="0" collapsed="false">
      <c r="A15" s="1" t="s">
        <v>22</v>
      </c>
      <c r="B15" s="1" t="n">
        <v>0</v>
      </c>
      <c r="D15" s="1" t="n">
        <v>0.853</v>
      </c>
      <c r="E15" s="1" t="n">
        <v>7</v>
      </c>
      <c r="F15" s="1" t="n">
        <v>1</v>
      </c>
      <c r="G15" s="1" t="n">
        <v>0</v>
      </c>
      <c r="H15" s="1" t="n">
        <v>5</v>
      </c>
      <c r="I15" s="1" t="n">
        <v>2</v>
      </c>
      <c r="J15" s="1" t="n">
        <v>79.1</v>
      </c>
      <c r="K15" s="1" t="n">
        <v>64.8</v>
      </c>
      <c r="L15" s="1" t="n">
        <v>3</v>
      </c>
      <c r="M15" s="1" t="n">
        <v>13.6</v>
      </c>
      <c r="N15" s="1" t="n">
        <f aca="false">373/1155</f>
        <v>0.3229437229</v>
      </c>
      <c r="O15" s="1" t="n">
        <f aca="false">270*3/2688</f>
        <v>0.3013392857</v>
      </c>
      <c r="P15" s="1" t="n">
        <v>0.693</v>
      </c>
      <c r="Q15" s="1" t="n">
        <v>12</v>
      </c>
      <c r="R15" s="1" t="n">
        <v>20.6</v>
      </c>
      <c r="S15" s="1" t="n">
        <v>0.8</v>
      </c>
    </row>
    <row r="16" customFormat="false" ht="12.75" hidden="false" customHeight="false" outlineLevel="0" collapsed="false">
      <c r="A16" s="1" t="s">
        <v>103</v>
      </c>
      <c r="B16" s="1" t="n">
        <v>0</v>
      </c>
      <c r="D16" s="1" t="n">
        <v>0.8</v>
      </c>
      <c r="E16" s="1" t="n">
        <v>8</v>
      </c>
      <c r="F16" s="1" t="n">
        <v>1</v>
      </c>
      <c r="G16" s="1" t="n">
        <v>0</v>
      </c>
      <c r="H16" s="1" t="n">
        <v>5</v>
      </c>
      <c r="I16" s="1" t="n">
        <v>3</v>
      </c>
      <c r="J16" s="1" t="n">
        <v>72.7</v>
      </c>
      <c r="K16" s="1" t="n">
        <v>66.9</v>
      </c>
      <c r="L16" s="1" t="n">
        <v>1</v>
      </c>
      <c r="M16" s="1" t="n">
        <v>13.2</v>
      </c>
      <c r="N16" s="1" t="n">
        <f aca="false">403/1091</f>
        <v>0.3693858845</v>
      </c>
      <c r="O16" s="1" t="n">
        <f aca="false">227*3/2182</f>
        <v>0.3120989918</v>
      </c>
      <c r="P16" s="1" t="n">
        <v>0.715</v>
      </c>
      <c r="Q16" s="1" t="n">
        <v>12</v>
      </c>
      <c r="R16" s="1" t="n">
        <v>9</v>
      </c>
      <c r="S16" s="1" t="n">
        <v>0.91</v>
      </c>
    </row>
    <row r="17" customFormat="false" ht="12.75" hidden="false" customHeight="false" outlineLevel="0" collapsed="false">
      <c r="A17" s="1" t="s">
        <v>86</v>
      </c>
      <c r="B17" s="1" t="n">
        <v>2</v>
      </c>
      <c r="D17" s="1" t="n">
        <v>0.788</v>
      </c>
      <c r="E17" s="1" t="n">
        <v>8</v>
      </c>
      <c r="F17" s="1" t="n">
        <v>1</v>
      </c>
      <c r="G17" s="1" t="n">
        <v>1</v>
      </c>
      <c r="H17" s="1" t="n">
        <v>8</v>
      </c>
      <c r="I17" s="1" t="n">
        <v>4</v>
      </c>
      <c r="J17" s="1" t="n">
        <v>81.1</v>
      </c>
      <c r="K17" s="1" t="n">
        <v>69.6</v>
      </c>
      <c r="L17" s="1" t="n">
        <v>3</v>
      </c>
      <c r="M17" s="1" t="n">
        <v>14</v>
      </c>
      <c r="N17" s="1" t="n">
        <f aca="false">431/1170</f>
        <v>0.3683760684</v>
      </c>
      <c r="O17" s="1" t="n">
        <f aca="false">235*3/2593</f>
        <v>0.2718858465</v>
      </c>
      <c r="P17" s="1" t="n">
        <v>0.712</v>
      </c>
      <c r="Q17" s="1" t="n">
        <v>10</v>
      </c>
      <c r="R17" s="1" t="n">
        <v>15.7</v>
      </c>
      <c r="S17" s="1" t="n">
        <v>0.25</v>
      </c>
    </row>
    <row r="18" customFormat="false" ht="12.75" hidden="false" customHeight="false" outlineLevel="0" collapsed="false">
      <c r="A18" s="1" t="s">
        <v>570</v>
      </c>
      <c r="B18" s="1" t="n">
        <v>0</v>
      </c>
      <c r="D18" s="1" t="n">
        <v>0.645</v>
      </c>
      <c r="E18" s="1" t="n">
        <v>8</v>
      </c>
      <c r="F18" s="1" t="n">
        <v>1</v>
      </c>
      <c r="G18" s="1" t="n">
        <v>0</v>
      </c>
      <c r="H18" s="1" t="n">
        <v>1</v>
      </c>
      <c r="I18" s="1" t="n">
        <v>1</v>
      </c>
      <c r="J18" s="1" t="n">
        <v>82</v>
      </c>
      <c r="K18" s="1" t="n">
        <v>75.2</v>
      </c>
      <c r="L18" s="1" t="n">
        <v>0</v>
      </c>
      <c r="M18" s="1" t="n">
        <v>18.1</v>
      </c>
      <c r="N18" s="1" t="n">
        <f aca="false">437/1201</f>
        <v>0.3638634471</v>
      </c>
      <c r="O18" s="1" t="n">
        <f aca="false">167*3/2543</f>
        <v>0.1970114039</v>
      </c>
      <c r="P18" s="1" t="n">
        <v>0.731</v>
      </c>
      <c r="Q18" s="1" t="n">
        <v>9</v>
      </c>
      <c r="R18" s="1" t="n">
        <v>8.7</v>
      </c>
      <c r="S18" s="1" t="n">
        <v>0.75</v>
      </c>
    </row>
    <row r="19" customFormat="false" ht="12.75" hidden="false" customHeight="false" outlineLevel="0" collapsed="false">
      <c r="A19" s="1" t="s">
        <v>62</v>
      </c>
      <c r="B19" s="1" t="n">
        <v>1</v>
      </c>
      <c r="D19" s="1" t="n">
        <v>0.758</v>
      </c>
      <c r="E19" s="1" t="n">
        <v>6</v>
      </c>
      <c r="F19" s="1" t="n">
        <v>0</v>
      </c>
      <c r="G19" s="1" t="n">
        <v>1</v>
      </c>
      <c r="H19" s="1" t="n">
        <v>6</v>
      </c>
      <c r="I19" s="1" t="n">
        <v>4</v>
      </c>
      <c r="J19" s="1" t="n">
        <v>75.3</v>
      </c>
      <c r="K19" s="1" t="n">
        <v>64.5</v>
      </c>
      <c r="L19" s="1" t="n">
        <v>3</v>
      </c>
      <c r="M19" s="1" t="n">
        <v>13.3</v>
      </c>
      <c r="N19" s="1" t="n">
        <f aca="false">352/1149</f>
        <v>0.3063533507</v>
      </c>
      <c r="O19" s="1" t="n">
        <f aca="false">287*3/2484</f>
        <v>0.3466183575</v>
      </c>
      <c r="P19" s="1" t="n">
        <v>0.703</v>
      </c>
      <c r="Q19" s="1" t="n">
        <v>9</v>
      </c>
      <c r="R19" s="1" t="n">
        <v>16</v>
      </c>
      <c r="S19" s="1" t="n">
        <v>0.583</v>
      </c>
    </row>
    <row r="20" customFormat="false" ht="12.75" hidden="false" customHeight="false" outlineLevel="0" collapsed="false">
      <c r="A20" s="1" t="s">
        <v>43</v>
      </c>
      <c r="B20" s="1" t="n">
        <v>1</v>
      </c>
      <c r="D20" s="1" t="n">
        <v>0.727</v>
      </c>
      <c r="E20" s="1" t="n">
        <v>7</v>
      </c>
      <c r="F20" s="1" t="n">
        <v>0</v>
      </c>
      <c r="G20" s="1" t="n">
        <v>0</v>
      </c>
      <c r="H20" s="1" t="n">
        <v>5</v>
      </c>
      <c r="I20" s="1" t="n">
        <v>5</v>
      </c>
      <c r="J20" s="1" t="n">
        <v>77.5</v>
      </c>
      <c r="K20" s="1" t="n">
        <v>69.1</v>
      </c>
      <c r="L20" s="1" t="n">
        <v>3</v>
      </c>
      <c r="M20" s="1" t="n">
        <v>14.4</v>
      </c>
      <c r="N20" s="1" t="n">
        <f aca="false">394/1234</f>
        <v>0.319286872</v>
      </c>
      <c r="O20" s="1" t="n">
        <f aca="false">239*3/2558</f>
        <v>0.2802971071</v>
      </c>
      <c r="P20" s="1" t="n">
        <v>0.724</v>
      </c>
      <c r="Q20" s="1" t="n">
        <v>11</v>
      </c>
      <c r="R20" s="1" t="n">
        <v>12.1</v>
      </c>
      <c r="S20" s="1" t="n">
        <v>0.7</v>
      </c>
    </row>
    <row r="21" customFormat="false" ht="12.75" hidden="false" customHeight="false" outlineLevel="0" collapsed="false">
      <c r="A21" s="1" t="s">
        <v>189</v>
      </c>
      <c r="B21" s="1" t="n">
        <v>0</v>
      </c>
      <c r="D21" s="1" t="n">
        <v>0.839</v>
      </c>
      <c r="E21" s="1" t="n">
        <v>10</v>
      </c>
      <c r="F21" s="1" t="n">
        <v>1</v>
      </c>
      <c r="G21" s="1" t="n">
        <v>0</v>
      </c>
      <c r="H21" s="1" t="n">
        <v>1</v>
      </c>
      <c r="I21" s="1" t="n">
        <v>1</v>
      </c>
      <c r="J21" s="1" t="n">
        <v>70.3</v>
      </c>
      <c r="K21" s="1" t="n">
        <v>58.7</v>
      </c>
      <c r="L21" s="1" t="n">
        <v>2</v>
      </c>
      <c r="M21" s="1" t="n">
        <v>13.7</v>
      </c>
      <c r="N21" s="1" t="n">
        <f aca="false">377/1131</f>
        <v>0.3333333333</v>
      </c>
      <c r="O21" s="1" t="n">
        <f aca="false">170*3/2180</f>
        <v>0.2339449541</v>
      </c>
      <c r="P21" s="1" t="n">
        <v>0.708</v>
      </c>
      <c r="Q21" s="1" t="n">
        <v>12</v>
      </c>
      <c r="R21" s="1" t="n">
        <v>17.7</v>
      </c>
      <c r="S21" s="1" t="n">
        <v>0.714</v>
      </c>
    </row>
    <row r="22" customFormat="false" ht="12.75" hidden="false" customHeight="false" outlineLevel="0" collapsed="false">
      <c r="A22" s="1" t="s">
        <v>363</v>
      </c>
      <c r="B22" s="1" t="n">
        <v>1</v>
      </c>
      <c r="D22" s="1" t="n">
        <v>0.781</v>
      </c>
      <c r="E22" s="1" t="n">
        <v>8</v>
      </c>
      <c r="F22" s="1" t="n">
        <v>1</v>
      </c>
      <c r="G22" s="1" t="n">
        <v>1</v>
      </c>
      <c r="H22" s="1" t="n">
        <v>6</v>
      </c>
      <c r="I22" s="1" t="n">
        <v>5</v>
      </c>
      <c r="J22" s="1" t="n">
        <v>74.6</v>
      </c>
      <c r="K22" s="1" t="n">
        <v>61.6</v>
      </c>
      <c r="L22" s="1" t="n">
        <v>3</v>
      </c>
      <c r="M22" s="1" t="n">
        <v>13.1</v>
      </c>
      <c r="N22" s="1" t="n">
        <f aca="false">305/1094</f>
        <v>0.2787934186</v>
      </c>
      <c r="O22" s="1" t="n">
        <f aca="false">225*3/2316</f>
        <v>0.2914507772</v>
      </c>
      <c r="P22" s="1" t="n">
        <v>0.725</v>
      </c>
      <c r="Q22" s="1" t="n">
        <v>9</v>
      </c>
      <c r="R22" s="1" t="n">
        <v>19.2</v>
      </c>
      <c r="S22" s="1" t="n">
        <v>0.5</v>
      </c>
    </row>
    <row r="23" customFormat="false" ht="12.75" hidden="false" customHeight="false" outlineLevel="0" collapsed="false">
      <c r="A23" s="1" t="s">
        <v>190</v>
      </c>
      <c r="B23" s="1" t="n">
        <v>1</v>
      </c>
      <c r="D23" s="1" t="n">
        <v>0.618</v>
      </c>
      <c r="E23" s="1" t="n">
        <v>6</v>
      </c>
      <c r="F23" s="1" t="n">
        <v>0</v>
      </c>
      <c r="G23" s="1" t="n">
        <v>1</v>
      </c>
      <c r="H23" s="1" t="n">
        <v>4</v>
      </c>
      <c r="I23" s="1" t="n">
        <v>8</v>
      </c>
      <c r="J23" s="1" t="n">
        <v>69.9</v>
      </c>
      <c r="K23" s="1" t="n">
        <v>67.1</v>
      </c>
      <c r="L23" s="1" t="n">
        <v>3</v>
      </c>
      <c r="M23" s="1" t="n">
        <v>11.5</v>
      </c>
      <c r="N23" s="1" t="n">
        <f aca="false">387/1278</f>
        <v>0.3028169014</v>
      </c>
      <c r="O23" s="1" t="n">
        <f aca="false">262*3/2446</f>
        <v>0.3213409648</v>
      </c>
      <c r="P23" s="1" t="n">
        <v>0.718</v>
      </c>
      <c r="Q23" s="1" t="n">
        <v>10</v>
      </c>
      <c r="R23" s="1" t="n">
        <v>4.3</v>
      </c>
      <c r="S23" s="1" t="n">
        <v>0.714</v>
      </c>
    </row>
    <row r="24" customFormat="false" ht="12.75" hidden="false" customHeight="false" outlineLevel="0" collapsed="false">
      <c r="A24" s="1" t="s">
        <v>575</v>
      </c>
      <c r="B24" s="1" t="n">
        <v>0</v>
      </c>
      <c r="D24" s="1" t="n">
        <v>0.588</v>
      </c>
      <c r="E24" s="1" t="n">
        <v>8</v>
      </c>
      <c r="F24" s="1" t="n">
        <v>1</v>
      </c>
      <c r="G24" s="1" t="n">
        <v>0</v>
      </c>
      <c r="H24" s="1" t="n">
        <v>0</v>
      </c>
      <c r="I24" s="1" t="n">
        <v>3</v>
      </c>
      <c r="J24" s="1" t="n">
        <v>71.3</v>
      </c>
      <c r="K24" s="1" t="n">
        <v>70.8</v>
      </c>
      <c r="L24" s="1" t="n">
        <v>0</v>
      </c>
      <c r="M24" s="1" t="n">
        <v>16.1</v>
      </c>
      <c r="N24" s="1" t="n">
        <f aca="false">404/1120</f>
        <v>0.3607142857</v>
      </c>
      <c r="O24" s="1" t="n">
        <f aca="false">215*3/2423</f>
        <v>0.266198927</v>
      </c>
      <c r="P24" s="1" t="n">
        <v>0.7</v>
      </c>
      <c r="Q24" s="1" t="n">
        <v>9</v>
      </c>
      <c r="R24" s="1" t="n">
        <v>0.7</v>
      </c>
      <c r="S24" s="1" t="n">
        <v>0.667</v>
      </c>
    </row>
    <row r="25" customFormat="false" ht="12.75" hidden="false" customHeight="false" outlineLevel="0" collapsed="false">
      <c r="A25" s="1" t="s">
        <v>71</v>
      </c>
      <c r="B25" s="1" t="n">
        <v>5</v>
      </c>
      <c r="D25" s="1" t="n">
        <v>0.789</v>
      </c>
      <c r="E25" s="1" t="n">
        <v>8</v>
      </c>
      <c r="F25" s="1" t="n">
        <v>0</v>
      </c>
      <c r="G25" s="1" t="n">
        <v>1</v>
      </c>
      <c r="H25" s="1" t="n">
        <v>9</v>
      </c>
      <c r="I25" s="1" t="n">
        <v>6</v>
      </c>
      <c r="J25" s="1" t="n">
        <v>82.7</v>
      </c>
      <c r="K25" s="1" t="n">
        <v>66.9</v>
      </c>
      <c r="L25" s="1" t="n">
        <v>3</v>
      </c>
      <c r="M25" s="1" t="n">
        <v>14.8</v>
      </c>
      <c r="N25" s="1" t="n">
        <f aca="false">550/1589</f>
        <v>0.3461296413</v>
      </c>
      <c r="O25" s="1" t="n">
        <f aca="false">183*3/3141</f>
        <v>0.1747851003</v>
      </c>
      <c r="P25" s="1" t="n">
        <v>0.656</v>
      </c>
      <c r="Q25" s="1" t="n">
        <v>11</v>
      </c>
      <c r="R25" s="1" t="n">
        <v>21.3</v>
      </c>
      <c r="S25" s="1" t="n">
        <v>0.333</v>
      </c>
    </row>
    <row r="26" customFormat="false" ht="12.75" hidden="false" customHeight="false" outlineLevel="0" collapsed="false">
      <c r="A26" s="1" t="s">
        <v>24</v>
      </c>
      <c r="B26" s="1" t="n">
        <v>3</v>
      </c>
      <c r="D26" s="1" t="n">
        <v>0.889</v>
      </c>
      <c r="E26" s="1" t="n">
        <v>10</v>
      </c>
      <c r="F26" s="1" t="n">
        <v>1</v>
      </c>
      <c r="G26" s="1" t="n">
        <v>1</v>
      </c>
      <c r="H26" s="1" t="n">
        <v>12</v>
      </c>
      <c r="I26" s="1" t="n">
        <v>2</v>
      </c>
      <c r="J26" s="1" t="n">
        <v>77.3</v>
      </c>
      <c r="K26" s="1" t="n">
        <v>64.1</v>
      </c>
      <c r="L26" s="1" t="n">
        <v>3</v>
      </c>
      <c r="M26" s="1" t="n">
        <v>13.9</v>
      </c>
      <c r="N26" s="1" t="n">
        <f aca="false">460/1290</f>
        <v>0.3565891473</v>
      </c>
      <c r="O26" s="1" t="n">
        <f aca="false">204*3/2718</f>
        <v>0.2251655629</v>
      </c>
      <c r="P26" s="1" t="n">
        <v>0.704</v>
      </c>
      <c r="Q26" s="1" t="n">
        <v>12</v>
      </c>
      <c r="R26" s="1" t="n">
        <v>19</v>
      </c>
      <c r="S26" s="1" t="n">
        <v>0.667</v>
      </c>
    </row>
    <row r="27" customFormat="false" ht="12.75" hidden="false" customHeight="false" outlineLevel="0" collapsed="false">
      <c r="A27" s="1" t="s">
        <v>561</v>
      </c>
      <c r="B27" s="1" t="n">
        <v>0</v>
      </c>
      <c r="D27" s="1" t="n">
        <v>0.656</v>
      </c>
      <c r="E27" s="1" t="n">
        <v>8</v>
      </c>
      <c r="F27" s="1" t="n">
        <v>0</v>
      </c>
      <c r="G27" s="1" t="n">
        <v>1</v>
      </c>
      <c r="H27" s="1" t="n">
        <v>6</v>
      </c>
      <c r="I27" s="1" t="n">
        <v>5</v>
      </c>
      <c r="J27" s="1" t="n">
        <v>72.7</v>
      </c>
      <c r="K27" s="1" t="n">
        <v>63.4</v>
      </c>
      <c r="L27" s="1" t="n">
        <v>1</v>
      </c>
      <c r="M27" s="1" t="n">
        <v>13.9</v>
      </c>
      <c r="N27" s="1" t="n">
        <f aca="false">402/1096</f>
        <v>0.3667883212</v>
      </c>
      <c r="O27" s="1" t="n">
        <f aca="false">206*3/2326</f>
        <v>0.2656921754</v>
      </c>
      <c r="P27" s="1" t="n">
        <v>0.646</v>
      </c>
      <c r="Q27" s="1" t="n">
        <v>10</v>
      </c>
      <c r="R27" s="1" t="n">
        <v>13.6</v>
      </c>
      <c r="S27" s="1" t="n">
        <v>0.5</v>
      </c>
    </row>
    <row r="28" customFormat="false" ht="12.75" hidden="false" customHeight="false" outlineLevel="0" collapsed="false">
      <c r="A28" s="1" t="s">
        <v>109</v>
      </c>
      <c r="B28" s="1" t="n">
        <v>1</v>
      </c>
      <c r="D28" s="1" t="n">
        <v>0.781</v>
      </c>
      <c r="E28" s="1" t="n">
        <v>6</v>
      </c>
      <c r="F28" s="1" t="n">
        <v>1</v>
      </c>
      <c r="G28" s="1" t="n">
        <v>1</v>
      </c>
      <c r="H28" s="1" t="n">
        <v>7</v>
      </c>
      <c r="I28" s="1" t="n">
        <v>4</v>
      </c>
      <c r="J28" s="1" t="n">
        <v>81.6</v>
      </c>
      <c r="K28" s="1" t="n">
        <v>68.7</v>
      </c>
      <c r="L28" s="1" t="n">
        <v>1</v>
      </c>
      <c r="M28" s="1" t="n">
        <v>13.3</v>
      </c>
      <c r="N28" s="1" t="n">
        <f aca="false">442/1291</f>
        <v>0.3423702556</v>
      </c>
      <c r="O28" s="1" t="n">
        <f aca="false">291*3/2769</f>
        <v>0.315276273</v>
      </c>
      <c r="P28" s="1" t="n">
        <v>0.696</v>
      </c>
      <c r="Q28" s="1" t="n">
        <v>10</v>
      </c>
      <c r="R28" s="1" t="n">
        <v>17.8</v>
      </c>
      <c r="S28" s="1" t="n">
        <v>0.625</v>
      </c>
    </row>
    <row r="29" customFormat="false" ht="12.75" hidden="false" customHeight="false" outlineLevel="0" collapsed="false">
      <c r="A29" s="1" t="s">
        <v>576</v>
      </c>
      <c r="B29" s="1" t="n">
        <v>0</v>
      </c>
      <c r="D29" s="1" t="n">
        <v>0.526</v>
      </c>
      <c r="E29" s="1" t="n">
        <v>7</v>
      </c>
      <c r="F29" s="1" t="n">
        <v>1</v>
      </c>
      <c r="G29" s="1" t="n">
        <v>0</v>
      </c>
      <c r="H29" s="1" t="n">
        <v>0</v>
      </c>
      <c r="I29" s="1" t="n">
        <v>1</v>
      </c>
      <c r="J29" s="1" t="n">
        <v>75.8</v>
      </c>
      <c r="K29" s="1" t="n">
        <v>68</v>
      </c>
      <c r="L29" s="1" t="n">
        <v>0</v>
      </c>
      <c r="M29" s="1" t="n">
        <v>14.1</v>
      </c>
      <c r="N29" s="1" t="n">
        <f aca="false">342/1032</f>
        <v>0.3313953488</v>
      </c>
      <c r="O29" s="1" t="n">
        <f aca="false">166*3/2274</f>
        <v>0.2189973615</v>
      </c>
      <c r="P29" s="1" t="n">
        <v>0.788</v>
      </c>
      <c r="Q29" s="1" t="n">
        <v>9</v>
      </c>
      <c r="R29" s="1" t="n">
        <v>10.8</v>
      </c>
      <c r="S29" s="1" t="n">
        <v>0.5</v>
      </c>
    </row>
    <row r="30" customFormat="false" ht="12.75" hidden="false" customHeight="false" outlineLevel="0" collapsed="false">
      <c r="A30" s="1" t="s">
        <v>110</v>
      </c>
      <c r="B30" s="1" t="n">
        <v>4</v>
      </c>
      <c r="D30" s="1" t="n">
        <v>0.818</v>
      </c>
      <c r="E30" s="1" t="n">
        <v>8</v>
      </c>
      <c r="F30" s="1" t="n">
        <v>0</v>
      </c>
      <c r="G30" s="1" t="n">
        <v>1</v>
      </c>
      <c r="H30" s="1" t="n">
        <v>5</v>
      </c>
      <c r="I30" s="1" t="n">
        <v>3</v>
      </c>
      <c r="J30" s="1" t="n">
        <v>78.5</v>
      </c>
      <c r="K30" s="1" t="n">
        <v>69.5</v>
      </c>
      <c r="L30" s="1" t="n">
        <v>1</v>
      </c>
      <c r="M30" s="1" t="n">
        <v>13.3</v>
      </c>
      <c r="N30" s="1" t="n">
        <f aca="false">487/1375</f>
        <v>0.3541818182</v>
      </c>
      <c r="O30" s="1" t="n">
        <f aca="false">242*3/2983</f>
        <v>0.2433791485</v>
      </c>
      <c r="P30" s="1" t="n">
        <v>0.771</v>
      </c>
      <c r="Q30" s="1" t="n">
        <v>10</v>
      </c>
      <c r="R30" s="1" t="n">
        <v>13.3</v>
      </c>
      <c r="S30" s="1" t="n">
        <v>0.5</v>
      </c>
    </row>
    <row r="31" customFormat="false" ht="12.75" hidden="false" customHeight="false" outlineLevel="0" collapsed="false">
      <c r="A31" s="1" t="s">
        <v>111</v>
      </c>
      <c r="B31" s="1" t="n">
        <v>2</v>
      </c>
      <c r="D31" s="1" t="n">
        <v>0.595</v>
      </c>
      <c r="E31" s="1" t="n">
        <v>5</v>
      </c>
      <c r="F31" s="1" t="n">
        <v>0</v>
      </c>
      <c r="G31" s="1" t="n">
        <v>1</v>
      </c>
      <c r="H31" s="1" t="n">
        <v>5</v>
      </c>
      <c r="I31" s="1" t="n">
        <v>5</v>
      </c>
      <c r="J31" s="1" t="n">
        <v>79.7</v>
      </c>
      <c r="K31" s="1" t="n">
        <v>66.7</v>
      </c>
      <c r="L31" s="1" t="n">
        <v>3</v>
      </c>
      <c r="M31" s="1" t="n">
        <v>13.9</v>
      </c>
      <c r="N31" s="1" t="n">
        <f aca="false">409/1241</f>
        <v>0.3295729251</v>
      </c>
      <c r="O31" s="1" t="n">
        <f aca="false">204*3/2472</f>
        <v>0.2475728155</v>
      </c>
      <c r="P31" s="1" t="n">
        <v>0.713</v>
      </c>
      <c r="Q31" s="1" t="n">
        <v>11</v>
      </c>
      <c r="R31" s="1" t="n">
        <v>17.7</v>
      </c>
      <c r="S31" s="1" t="n">
        <v>0.429</v>
      </c>
    </row>
    <row r="32" customFormat="false" ht="12.75" hidden="false" customHeight="false" outlineLevel="0" collapsed="false">
      <c r="A32" s="1" t="s">
        <v>325</v>
      </c>
      <c r="B32" s="1" t="n">
        <v>0</v>
      </c>
      <c r="D32" s="1" t="n">
        <v>0.767</v>
      </c>
      <c r="E32" s="1" t="n">
        <v>9</v>
      </c>
      <c r="F32" s="1" t="n">
        <v>0</v>
      </c>
      <c r="G32" s="1" t="n">
        <v>0</v>
      </c>
      <c r="H32" s="1" t="n">
        <v>4</v>
      </c>
      <c r="I32" s="1" t="n">
        <v>3</v>
      </c>
      <c r="J32" s="1" t="n">
        <v>74.4</v>
      </c>
      <c r="K32" s="1" t="n">
        <v>66.4</v>
      </c>
      <c r="L32" s="1" t="n">
        <v>0</v>
      </c>
      <c r="M32" s="1" t="n">
        <v>13.7</v>
      </c>
      <c r="N32" s="1" t="n">
        <f aca="false">448/1245</f>
        <v>0.3598393574</v>
      </c>
      <c r="O32" s="1" t="n">
        <f aca="false">217*3/2303</f>
        <v>0.282674772</v>
      </c>
      <c r="P32" s="1" t="n">
        <v>0.654</v>
      </c>
      <c r="Q32" s="1" t="n">
        <v>10</v>
      </c>
      <c r="R32" s="1" t="n">
        <v>11.3</v>
      </c>
      <c r="S32" s="1" t="n">
        <v>0.5</v>
      </c>
    </row>
    <row r="33" customFormat="false" ht="12.75" hidden="false" customHeight="false" outlineLevel="0" collapsed="false">
      <c r="A33" s="1" t="s">
        <v>194</v>
      </c>
      <c r="B33" s="1" t="n">
        <v>3</v>
      </c>
      <c r="D33" s="1" t="n">
        <v>0.629</v>
      </c>
      <c r="E33" s="1" t="n">
        <v>6</v>
      </c>
      <c r="F33" s="1" t="n">
        <v>0</v>
      </c>
      <c r="G33" s="1" t="n">
        <v>1</v>
      </c>
      <c r="H33" s="1" t="n">
        <v>7</v>
      </c>
      <c r="I33" s="1" t="n">
        <v>6</v>
      </c>
      <c r="J33" s="1" t="n">
        <v>67.6</v>
      </c>
      <c r="K33" s="1" t="n">
        <v>61.2</v>
      </c>
      <c r="L33" s="1" t="n">
        <v>3</v>
      </c>
      <c r="M33" s="1" t="n">
        <v>14.3</v>
      </c>
      <c r="N33" s="1" t="n">
        <f aca="false">373/1226</f>
        <v>0.3042414356</v>
      </c>
      <c r="O33" s="1" t="n">
        <f aca="false">179*3/2367</f>
        <v>0.226869455</v>
      </c>
      <c r="P33" s="1" t="n">
        <v>0.735</v>
      </c>
      <c r="Q33" s="1" t="n">
        <v>10</v>
      </c>
      <c r="R33" s="1" t="n">
        <v>9.8</v>
      </c>
      <c r="S33" s="1" t="n">
        <v>0.222</v>
      </c>
    </row>
    <row r="34" customFormat="false" ht="12.75" hidden="false" customHeight="false" outlineLevel="0" collapsed="false">
      <c r="A34" s="1" t="s">
        <v>563</v>
      </c>
      <c r="B34" s="1" t="n">
        <v>0</v>
      </c>
      <c r="D34" s="1" t="n">
        <v>0.75</v>
      </c>
      <c r="E34" s="1" t="n">
        <v>6</v>
      </c>
      <c r="F34" s="1" t="n">
        <v>1</v>
      </c>
      <c r="G34" s="1" t="n">
        <v>0</v>
      </c>
      <c r="H34" s="1" t="n">
        <v>2</v>
      </c>
      <c r="I34" s="1" t="n">
        <v>3</v>
      </c>
      <c r="J34" s="1" t="n">
        <v>77.1</v>
      </c>
      <c r="K34" s="1" t="n">
        <v>69.9</v>
      </c>
      <c r="L34" s="1" t="n">
        <v>0</v>
      </c>
      <c r="M34" s="1" t="n">
        <v>14.8</v>
      </c>
      <c r="N34" s="1" t="n">
        <f aca="false">370/1106</f>
        <v>0.3345388788</v>
      </c>
      <c r="O34" s="1" t="n">
        <f aca="false">246*3/2466</f>
        <v>0.299270073</v>
      </c>
      <c r="P34" s="1" t="n">
        <v>0.693</v>
      </c>
      <c r="Q34" s="1" t="n">
        <v>12</v>
      </c>
      <c r="R34" s="1" t="n">
        <v>9.9</v>
      </c>
      <c r="S34" s="1" t="n">
        <v>0.75</v>
      </c>
    </row>
    <row r="35" customFormat="false" ht="12.75" hidden="false" customHeight="false" outlineLevel="0" collapsed="false">
      <c r="A35" s="1" t="s">
        <v>425</v>
      </c>
      <c r="B35" s="1" t="n">
        <v>0</v>
      </c>
      <c r="D35" s="1" t="n">
        <v>0.677</v>
      </c>
      <c r="E35" s="1" t="n">
        <v>6</v>
      </c>
      <c r="F35" s="1" t="n">
        <v>0</v>
      </c>
      <c r="G35" s="1" t="n">
        <v>1</v>
      </c>
      <c r="H35" s="1" t="n">
        <v>7</v>
      </c>
      <c r="I35" s="1" t="n">
        <v>5</v>
      </c>
      <c r="J35" s="1" t="n">
        <v>69.4</v>
      </c>
      <c r="K35" s="1" t="n">
        <v>59.7</v>
      </c>
      <c r="L35" s="1" t="n">
        <v>1</v>
      </c>
      <c r="M35" s="1" t="n">
        <v>13.6</v>
      </c>
      <c r="N35" s="1" t="n">
        <f aca="false">179/2367</f>
        <v>0.07562315167</v>
      </c>
      <c r="O35" s="1" t="n">
        <f aca="false">169*3/2094</f>
        <v>0.2421203438</v>
      </c>
      <c r="P35" s="1" t="n">
        <v>0.674</v>
      </c>
      <c r="Q35" s="1" t="n">
        <v>11</v>
      </c>
      <c r="R35" s="1" t="n">
        <v>14.5</v>
      </c>
      <c r="S35" s="1" t="n">
        <v>0.5</v>
      </c>
    </row>
    <row r="36" customFormat="false" ht="12.75" hidden="false" customHeight="false" outlineLevel="0" collapsed="false">
      <c r="A36" s="1" t="s">
        <v>39</v>
      </c>
      <c r="B36" s="1" t="n">
        <v>1</v>
      </c>
      <c r="D36" s="1" t="n">
        <v>0.667</v>
      </c>
      <c r="E36" s="1" t="n">
        <v>6</v>
      </c>
      <c r="F36" s="1" t="n">
        <v>0</v>
      </c>
      <c r="G36" s="1" t="n">
        <v>1</v>
      </c>
      <c r="H36" s="1" t="n">
        <v>6</v>
      </c>
      <c r="I36" s="1" t="n">
        <v>8</v>
      </c>
      <c r="J36" s="1" t="n">
        <v>72.4</v>
      </c>
      <c r="K36" s="1" t="n">
        <v>67.7</v>
      </c>
      <c r="L36" s="1" t="n">
        <v>3</v>
      </c>
      <c r="M36" s="1" t="n">
        <v>13.8</v>
      </c>
      <c r="N36" s="1" t="n">
        <f aca="false">437/1267</f>
        <v>0.3449092344</v>
      </c>
      <c r="O36" s="1" t="n">
        <f aca="false">248*3/2342</f>
        <v>0.317677199</v>
      </c>
      <c r="P36" s="1" t="n">
        <v>0.662</v>
      </c>
      <c r="Q36" s="1" t="n">
        <v>10</v>
      </c>
      <c r="R36" s="1" t="n">
        <v>6.9</v>
      </c>
      <c r="S36" s="1" t="n">
        <v>0.571</v>
      </c>
    </row>
    <row r="37" customFormat="false" ht="12.75" hidden="false" customHeight="false" outlineLevel="0" collapsed="false">
      <c r="A37" s="1" t="s">
        <v>332</v>
      </c>
      <c r="B37" s="1" t="n">
        <v>0</v>
      </c>
      <c r="D37" s="1" t="n">
        <v>0.581</v>
      </c>
      <c r="E37" s="1" t="n">
        <v>6</v>
      </c>
      <c r="F37" s="1" t="n">
        <v>0</v>
      </c>
      <c r="G37" s="1" t="n">
        <v>1</v>
      </c>
      <c r="H37" s="1" t="n">
        <v>2</v>
      </c>
      <c r="I37" s="1" t="n">
        <v>7</v>
      </c>
      <c r="J37" s="1" t="n">
        <v>72.5</v>
      </c>
      <c r="K37" s="1" t="n">
        <v>71.2</v>
      </c>
      <c r="L37" s="1" t="n">
        <v>1</v>
      </c>
      <c r="M37" s="1" t="n">
        <v>14.2</v>
      </c>
      <c r="N37" s="1" t="n">
        <f aca="false">290/952</f>
        <v>0.3046218487</v>
      </c>
      <c r="O37" s="1" t="n">
        <f aca="false">243*3/2169</f>
        <v>0.3360995851</v>
      </c>
      <c r="P37" s="1" t="n">
        <v>0.77</v>
      </c>
      <c r="Q37" s="1" t="n">
        <v>11</v>
      </c>
      <c r="R37" s="1" t="n">
        <v>6.3</v>
      </c>
      <c r="S37" s="1" t="n">
        <v>0.6</v>
      </c>
    </row>
    <row r="38" customFormat="false" ht="12.75" hidden="false" customHeight="false" outlineLevel="0" collapsed="false">
      <c r="A38" s="1" t="s">
        <v>577</v>
      </c>
      <c r="B38" s="1" t="n">
        <v>0</v>
      </c>
      <c r="D38" s="1" t="n">
        <v>0.469</v>
      </c>
      <c r="E38" s="1" t="n">
        <v>5</v>
      </c>
      <c r="F38" s="1" t="n">
        <v>1</v>
      </c>
      <c r="G38" s="1" t="n">
        <v>0</v>
      </c>
      <c r="H38" s="1" t="n">
        <v>0</v>
      </c>
      <c r="I38" s="1" t="n">
        <v>6</v>
      </c>
      <c r="J38" s="1" t="n">
        <v>72.5</v>
      </c>
      <c r="K38" s="1" t="n">
        <v>78.6</v>
      </c>
      <c r="L38" s="1" t="n">
        <v>0</v>
      </c>
      <c r="M38" s="1" t="n">
        <v>16.1</v>
      </c>
      <c r="N38" s="1" t="n">
        <f aca="false">393/1145</f>
        <v>0.343231441</v>
      </c>
      <c r="O38" s="1" t="n">
        <f aca="false">212*3/2320</f>
        <v>0.274137931</v>
      </c>
      <c r="P38" s="1" t="n">
        <v>0.761</v>
      </c>
      <c r="Q38" s="1" t="n">
        <v>10</v>
      </c>
      <c r="R38" s="1" t="n">
        <v>-8.5</v>
      </c>
      <c r="S38" s="1" t="n">
        <v>0.667</v>
      </c>
    </row>
    <row r="39" customFormat="false" ht="12.75" hidden="false" customHeight="false" outlineLevel="0" collapsed="false">
      <c r="A39" s="1" t="s">
        <v>578</v>
      </c>
      <c r="B39" s="1" t="n">
        <v>0</v>
      </c>
      <c r="D39" s="1" t="n">
        <v>0.774</v>
      </c>
      <c r="E39" s="1" t="n">
        <v>9</v>
      </c>
      <c r="F39" s="1" t="n">
        <v>1</v>
      </c>
      <c r="G39" s="1" t="n">
        <v>0</v>
      </c>
      <c r="H39" s="1" t="n">
        <v>1</v>
      </c>
      <c r="I39" s="1" t="n">
        <v>1</v>
      </c>
      <c r="J39" s="1" t="n">
        <v>71.4</v>
      </c>
      <c r="K39" s="1" t="n">
        <v>60.1</v>
      </c>
      <c r="L39" s="1" t="n">
        <v>2</v>
      </c>
      <c r="M39" s="1" t="n">
        <v>11.4</v>
      </c>
      <c r="N39" s="1" t="n">
        <f aca="false">309/1022</f>
        <v>0.3023483366</v>
      </c>
      <c r="O39" s="1" t="n">
        <f aca="false">216*3/2214</f>
        <v>0.2926829268</v>
      </c>
      <c r="P39" s="1" t="n">
        <v>0.692</v>
      </c>
      <c r="Q39" s="1" t="n">
        <v>11</v>
      </c>
      <c r="R39" s="1" t="n">
        <v>17.1</v>
      </c>
      <c r="S39" s="1" t="n">
        <v>0.5</v>
      </c>
    </row>
    <row r="40" customFormat="false" ht="12.75" hidden="false" customHeight="false" outlineLevel="0" collapsed="false">
      <c r="A40" s="1" t="s">
        <v>121</v>
      </c>
      <c r="B40" s="1" t="n">
        <v>2</v>
      </c>
      <c r="D40" s="1" t="n">
        <v>0.706</v>
      </c>
      <c r="E40" s="1" t="n">
        <v>4</v>
      </c>
      <c r="F40" s="1" t="n">
        <v>0</v>
      </c>
      <c r="G40" s="1" t="n">
        <v>1</v>
      </c>
      <c r="H40" s="1" t="n">
        <v>5</v>
      </c>
      <c r="I40" s="1" t="n">
        <v>6</v>
      </c>
      <c r="J40" s="1" t="n">
        <v>79.2</v>
      </c>
      <c r="K40" s="1" t="n">
        <v>71.3</v>
      </c>
      <c r="L40" s="1" t="n">
        <v>2</v>
      </c>
      <c r="M40" s="1" t="n">
        <v>13.1</v>
      </c>
      <c r="N40" s="1" t="n">
        <f aca="false">329/1109</f>
        <v>0.296663661</v>
      </c>
      <c r="O40" s="1" t="n">
        <f aca="false">242*3/2266</f>
        <v>0.3203883495</v>
      </c>
      <c r="P40" s="1" t="n">
        <v>0.761</v>
      </c>
      <c r="Q40" s="1" t="n">
        <v>10</v>
      </c>
      <c r="R40" s="1" t="n">
        <v>10.9</v>
      </c>
      <c r="S40" s="1" t="n">
        <v>0.556</v>
      </c>
    </row>
    <row r="41" customFormat="false" ht="12.75" hidden="false" customHeight="false" outlineLevel="0" collapsed="false">
      <c r="A41" s="1" t="s">
        <v>85</v>
      </c>
      <c r="B41" s="1" t="n">
        <v>3</v>
      </c>
      <c r="D41" s="1" t="n">
        <v>0.974</v>
      </c>
      <c r="E41" s="1" t="n">
        <v>8</v>
      </c>
      <c r="F41" s="1" t="n">
        <v>1</v>
      </c>
      <c r="G41" s="1" t="n">
        <v>1</v>
      </c>
      <c r="H41" s="1" t="n">
        <v>8</v>
      </c>
      <c r="I41" s="1" t="n">
        <v>6</v>
      </c>
      <c r="J41" s="1" t="n">
        <v>70.4</v>
      </c>
      <c r="K41" s="1" t="n">
        <v>60</v>
      </c>
      <c r="L41" s="1" t="n">
        <v>3</v>
      </c>
      <c r="M41" s="1" t="n">
        <v>12.1</v>
      </c>
      <c r="N41" s="1" t="n">
        <f aca="false">414/1220</f>
        <v>0.3393442623</v>
      </c>
      <c r="O41" s="1" t="n">
        <f aca="false">242*3/2343</f>
        <v>0.3098591549</v>
      </c>
      <c r="P41" s="1" t="n">
        <v>0.693</v>
      </c>
      <c r="Q41" s="1" t="n">
        <v>11</v>
      </c>
      <c r="R41" s="1" t="n">
        <v>15.8</v>
      </c>
      <c r="S41" s="1" t="n">
        <v>0.75</v>
      </c>
    </row>
    <row r="42" customFormat="false" ht="12.75" hidden="false" customHeight="false" outlineLevel="0" collapsed="false">
      <c r="A42" s="1" t="s">
        <v>258</v>
      </c>
      <c r="B42" s="1" t="n">
        <v>1</v>
      </c>
      <c r="D42" s="1" t="n">
        <v>0.706</v>
      </c>
      <c r="E42" s="1" t="n">
        <v>3</v>
      </c>
      <c r="F42" s="1" t="n">
        <v>0</v>
      </c>
      <c r="G42" s="1" t="n">
        <v>1</v>
      </c>
      <c r="H42" s="1" t="n">
        <v>5</v>
      </c>
      <c r="I42" s="1" t="n">
        <v>6</v>
      </c>
      <c r="J42" s="1" t="n">
        <v>69.5</v>
      </c>
      <c r="K42" s="1" t="n">
        <v>62.6</v>
      </c>
      <c r="L42" s="1" t="n">
        <v>3</v>
      </c>
      <c r="M42" s="1" t="n">
        <v>14.8</v>
      </c>
      <c r="N42" s="1" t="n">
        <f aca="false">397/1166</f>
        <v>0.3404802744</v>
      </c>
      <c r="O42" s="1" t="n">
        <f aca="false">157*3/2224</f>
        <v>0.2117805755</v>
      </c>
      <c r="P42" s="1" t="n">
        <v>0.65</v>
      </c>
      <c r="Q42" s="1" t="n">
        <v>11</v>
      </c>
      <c r="R42" s="1" t="n">
        <v>10</v>
      </c>
      <c r="S42" s="1" t="n">
        <v>0.5</v>
      </c>
    </row>
    <row r="43" customFormat="false" ht="12.75" hidden="false" customHeight="false" outlineLevel="0" collapsed="false">
      <c r="A43" s="1" t="s">
        <v>123</v>
      </c>
      <c r="B43" s="1" t="n">
        <v>0</v>
      </c>
      <c r="D43" s="1" t="n">
        <v>0.697</v>
      </c>
      <c r="E43" s="1" t="n">
        <v>2</v>
      </c>
      <c r="F43" s="1" t="n">
        <v>1</v>
      </c>
      <c r="G43" s="1" t="n">
        <v>1</v>
      </c>
      <c r="H43" s="1" t="n">
        <v>4</v>
      </c>
      <c r="I43" s="1" t="n">
        <v>5</v>
      </c>
      <c r="J43" s="1" t="n">
        <v>81.5</v>
      </c>
      <c r="K43" s="1" t="n">
        <v>73.5</v>
      </c>
      <c r="L43" s="1" t="n">
        <v>2</v>
      </c>
      <c r="M43" s="1" t="n">
        <v>15.3</v>
      </c>
      <c r="N43" s="1" t="n">
        <f aca="false">377/1190</f>
        <v>0.3168067227</v>
      </c>
      <c r="O43" s="1" t="n">
        <f aca="false">291*3/2689</f>
        <v>0.324656006</v>
      </c>
      <c r="P43" s="1" t="n">
        <v>0.774</v>
      </c>
      <c r="Q43" s="1" t="n">
        <v>10</v>
      </c>
      <c r="R43" s="1" t="n">
        <v>10.6</v>
      </c>
      <c r="S43" s="1" t="n">
        <v>1</v>
      </c>
    </row>
    <row r="44" customFormat="false" ht="12.75" hidden="false" customHeight="false" outlineLevel="0" collapsed="false">
      <c r="A44" s="1" t="s">
        <v>579</v>
      </c>
      <c r="B44" s="1" t="n">
        <v>0</v>
      </c>
      <c r="D44" s="1" t="n">
        <v>0.786</v>
      </c>
      <c r="E44" s="1" t="n">
        <v>10</v>
      </c>
      <c r="F44" s="1" t="n">
        <v>1</v>
      </c>
      <c r="G44" s="1" t="n">
        <v>0</v>
      </c>
      <c r="H44" s="1" t="n">
        <v>0</v>
      </c>
      <c r="I44" s="1" t="n">
        <v>2</v>
      </c>
      <c r="J44" s="1" t="n">
        <v>69.9</v>
      </c>
      <c r="K44" s="1" t="n">
        <v>60</v>
      </c>
      <c r="L44" s="1" t="n">
        <v>2</v>
      </c>
      <c r="M44" s="1" t="n">
        <v>13.2</v>
      </c>
      <c r="N44" s="1" t="n">
        <f aca="false">254/920</f>
        <v>0.2760869565</v>
      </c>
      <c r="O44" s="1" t="n">
        <f aca="false">251*3/1958</f>
        <v>0.3845760981</v>
      </c>
      <c r="P44" s="1" t="n">
        <v>0.709</v>
      </c>
      <c r="Q44" s="1" t="n">
        <v>12</v>
      </c>
      <c r="R44" s="1" t="n">
        <v>15.4</v>
      </c>
      <c r="S44" s="1" t="n">
        <v>0.5</v>
      </c>
    </row>
    <row r="45" customFormat="false" ht="12.75" hidden="false" customHeight="false" outlineLevel="0" collapsed="false">
      <c r="A45" s="1" t="s">
        <v>197</v>
      </c>
      <c r="B45" s="1" t="n">
        <v>2</v>
      </c>
      <c r="D45" s="1" t="n">
        <v>0.848</v>
      </c>
      <c r="E45" s="1" t="n">
        <v>9</v>
      </c>
      <c r="F45" s="1" t="n">
        <v>1</v>
      </c>
      <c r="G45" s="1" t="n">
        <v>1</v>
      </c>
      <c r="H45" s="1" t="n">
        <v>4</v>
      </c>
      <c r="I45" s="1" t="n">
        <v>2</v>
      </c>
      <c r="J45" s="1" t="n">
        <v>74.9</v>
      </c>
      <c r="K45" s="1" t="n">
        <v>59.2</v>
      </c>
      <c r="L45" s="1" t="n">
        <v>1</v>
      </c>
      <c r="M45" s="1" t="n">
        <v>14.7</v>
      </c>
      <c r="N45" s="1" t="n">
        <f aca="false">369/1194</f>
        <v>0.3090452261</v>
      </c>
      <c r="O45" s="1" t="n">
        <f aca="false">208*3/2473</f>
        <v>0.2523251112</v>
      </c>
      <c r="P45" s="1" t="n">
        <v>0.64</v>
      </c>
      <c r="Q45" s="1" t="n">
        <v>12</v>
      </c>
      <c r="R45" s="1" t="n">
        <v>23.1</v>
      </c>
      <c r="S45" s="1" t="n">
        <v>0.5</v>
      </c>
    </row>
    <row r="46" customFormat="false" ht="12.75" hidden="false" customHeight="false" outlineLevel="0" collapsed="false">
      <c r="A46" s="1" t="s">
        <v>69</v>
      </c>
      <c r="B46" s="1" t="n">
        <v>1</v>
      </c>
      <c r="D46" s="1" t="n">
        <v>0.633</v>
      </c>
      <c r="E46" s="1" t="n">
        <v>4</v>
      </c>
      <c r="F46" s="1" t="n">
        <v>0</v>
      </c>
      <c r="G46" s="1" t="n">
        <v>1</v>
      </c>
      <c r="H46" s="1" t="n">
        <v>7</v>
      </c>
      <c r="I46" s="1" t="n">
        <v>6</v>
      </c>
      <c r="J46" s="1" t="n">
        <v>71.9</v>
      </c>
      <c r="K46" s="1" t="n">
        <v>65.3</v>
      </c>
      <c r="L46" s="1" t="n">
        <v>1</v>
      </c>
      <c r="M46" s="1" t="n">
        <v>14</v>
      </c>
      <c r="N46" s="1" t="n">
        <f aca="false">312/1016</f>
        <v>0.3070866142</v>
      </c>
      <c r="O46" s="1" t="n">
        <f aca="false">157*3/2156</f>
        <v>0.2184601113</v>
      </c>
      <c r="P46" s="1" t="n">
        <v>0.752</v>
      </c>
      <c r="Q46" s="1" t="n">
        <v>10</v>
      </c>
      <c r="R46" s="1" t="n">
        <v>9.4</v>
      </c>
      <c r="S46" s="1" t="n">
        <v>0.6</v>
      </c>
    </row>
    <row r="47" customFormat="false" ht="12.75" hidden="false" customHeight="false" outlineLevel="0" collapsed="false">
      <c r="A47" s="1" t="s">
        <v>522</v>
      </c>
      <c r="B47" s="1" t="n">
        <v>0</v>
      </c>
      <c r="D47" s="1" t="n">
        <v>0.767</v>
      </c>
      <c r="E47" s="1" t="n">
        <v>7</v>
      </c>
      <c r="F47" s="1" t="n">
        <v>0</v>
      </c>
      <c r="G47" s="1" t="n">
        <v>0</v>
      </c>
      <c r="H47" s="1" t="n">
        <v>2</v>
      </c>
      <c r="I47" s="1" t="n">
        <v>3</v>
      </c>
      <c r="J47" s="1" t="n">
        <v>70.4</v>
      </c>
      <c r="K47" s="1" t="n">
        <v>59.5</v>
      </c>
      <c r="L47" s="1" t="n">
        <v>1</v>
      </c>
      <c r="M47" s="1" t="n">
        <v>12.9</v>
      </c>
      <c r="N47" s="1" t="n">
        <f aca="false">339/1060</f>
        <v>0.3198113208</v>
      </c>
      <c r="O47" s="1" t="n">
        <f aca="false">239*3/2111</f>
        <v>0.3396494552</v>
      </c>
      <c r="P47" s="1" t="n">
        <v>0.686</v>
      </c>
      <c r="Q47" s="1" t="n">
        <v>11</v>
      </c>
      <c r="R47" s="1" t="n">
        <v>16.6</v>
      </c>
      <c r="S47" s="1" t="n">
        <v>0.571</v>
      </c>
    </row>
    <row r="48" customFormat="false" ht="12.75" hidden="false" customHeight="false" outlineLevel="0" collapsed="false">
      <c r="A48" s="1" t="s">
        <v>580</v>
      </c>
      <c r="B48" s="1" t="n">
        <v>0</v>
      </c>
      <c r="D48" s="1" t="n">
        <v>0.767</v>
      </c>
      <c r="E48" s="1" t="n">
        <v>9</v>
      </c>
      <c r="F48" s="1" t="n">
        <v>1</v>
      </c>
      <c r="G48" s="1" t="n">
        <v>0</v>
      </c>
      <c r="H48" s="1" t="n">
        <v>0</v>
      </c>
      <c r="I48" s="1" t="n">
        <v>0</v>
      </c>
      <c r="J48" s="1" t="n">
        <v>72.8</v>
      </c>
      <c r="K48" s="1" t="n">
        <v>71.4</v>
      </c>
      <c r="L48" s="1" t="n">
        <v>0</v>
      </c>
      <c r="M48" s="1" t="n">
        <v>15.8</v>
      </c>
      <c r="N48" s="1" t="n">
        <f aca="false">338/1111</f>
        <v>0.304230423</v>
      </c>
      <c r="O48" s="1" t="n">
        <f aca="false">194*3/2185</f>
        <v>0.2663615561</v>
      </c>
      <c r="P48" s="1" t="n">
        <v>0.705</v>
      </c>
      <c r="Q48" s="1" t="n">
        <v>10</v>
      </c>
      <c r="R48" s="1" t="n">
        <v>11.1</v>
      </c>
      <c r="S48" s="1" t="n">
        <v>0.714</v>
      </c>
    </row>
    <row r="49" customFormat="false" ht="12.75" hidden="false" customHeight="false" outlineLevel="0" collapsed="false">
      <c r="A49" s="1" t="s">
        <v>523</v>
      </c>
      <c r="B49" s="1" t="n">
        <v>0</v>
      </c>
      <c r="D49" s="1" t="n">
        <v>0.6</v>
      </c>
      <c r="E49" s="1" t="n">
        <v>8</v>
      </c>
      <c r="F49" s="1" t="n">
        <v>1</v>
      </c>
      <c r="G49" s="1" t="n">
        <v>0</v>
      </c>
      <c r="H49" s="1" t="n">
        <v>2</v>
      </c>
      <c r="I49" s="1" t="n">
        <v>5</v>
      </c>
      <c r="J49" s="1" t="n">
        <v>75.5</v>
      </c>
      <c r="K49" s="1" t="n">
        <v>65</v>
      </c>
      <c r="L49" s="1" t="n">
        <v>0</v>
      </c>
      <c r="M49" s="1" t="n">
        <v>17.9</v>
      </c>
      <c r="N49" s="1" t="n">
        <f aca="false">354/1150</f>
        <v>0.307826087</v>
      </c>
      <c r="O49" s="1" t="n">
        <f aca="false">210*3/2265</f>
        <v>0.2781456954</v>
      </c>
      <c r="P49" s="1" t="n">
        <v>0.678</v>
      </c>
      <c r="Q49" s="1" t="n">
        <v>11</v>
      </c>
      <c r="R49" s="1" t="n">
        <v>5.6</v>
      </c>
      <c r="S49" s="1" t="n">
        <v>0.444</v>
      </c>
    </row>
    <row r="50" customFormat="false" ht="12.75" hidden="false" customHeight="false" outlineLevel="0" collapsed="false">
      <c r="A50" s="1" t="s">
        <v>581</v>
      </c>
      <c r="B50" s="1" t="n">
        <v>0</v>
      </c>
      <c r="D50" s="1" t="n">
        <v>0.645</v>
      </c>
      <c r="E50" s="55" t="n">
        <v>7</v>
      </c>
      <c r="F50" s="1" t="n">
        <v>1</v>
      </c>
      <c r="G50" s="1" t="n">
        <v>0</v>
      </c>
      <c r="H50" s="1" t="n">
        <v>0</v>
      </c>
      <c r="I50" s="1" t="n">
        <v>2</v>
      </c>
      <c r="J50" s="1" t="n">
        <v>72.2</v>
      </c>
      <c r="K50" s="1" t="n">
        <v>71.3</v>
      </c>
      <c r="L50" s="1" t="n">
        <v>1</v>
      </c>
      <c r="M50" s="1" t="n">
        <v>19.4</v>
      </c>
      <c r="N50" s="1" t="n">
        <f aca="false">396/1146</f>
        <v>0.3455497382</v>
      </c>
      <c r="O50" s="1" t="n">
        <f aca="false">161*3/2238</f>
        <v>0.2158176944</v>
      </c>
      <c r="P50" s="1" t="n">
        <v>0.699</v>
      </c>
      <c r="Q50" s="1" t="n">
        <v>8</v>
      </c>
      <c r="R50" s="1" t="n">
        <v>1.3</v>
      </c>
      <c r="S50" s="1" t="n">
        <v>0.778</v>
      </c>
    </row>
    <row r="51" customFormat="false" ht="12.75" hidden="false" customHeight="false" outlineLevel="0" collapsed="false">
      <c r="A51" s="1" t="s">
        <v>552</v>
      </c>
      <c r="B51" s="1" t="n">
        <v>0</v>
      </c>
      <c r="D51" s="1" t="n">
        <v>0.774</v>
      </c>
      <c r="E51" s="55" t="n">
        <v>8</v>
      </c>
      <c r="F51" s="1" t="n">
        <v>0</v>
      </c>
      <c r="G51" s="1" t="n">
        <v>0</v>
      </c>
      <c r="H51" s="1" t="n">
        <v>3</v>
      </c>
      <c r="I51" s="1" t="n">
        <v>2</v>
      </c>
      <c r="J51" s="1" t="n">
        <v>74.4</v>
      </c>
      <c r="K51" s="1" t="n">
        <v>68.2</v>
      </c>
      <c r="L51" s="1" t="n">
        <v>1</v>
      </c>
      <c r="M51" s="1" t="n">
        <v>12.5</v>
      </c>
      <c r="N51" s="1" t="n">
        <f aca="false">316/1059</f>
        <v>0.298394712</v>
      </c>
      <c r="O51" s="1" t="n">
        <f aca="false">141*3/1953</f>
        <v>0.2165898618</v>
      </c>
      <c r="P51" s="1" t="n">
        <v>0.7</v>
      </c>
      <c r="Q51" s="1" t="n">
        <v>12</v>
      </c>
      <c r="R51" s="1" t="n">
        <v>9</v>
      </c>
      <c r="S51" s="1" t="n">
        <v>0.778</v>
      </c>
    </row>
    <row r="52" customFormat="false" ht="12.75" hidden="false" customHeight="false" outlineLevel="0" collapsed="false">
      <c r="A52" s="1" t="s">
        <v>335</v>
      </c>
      <c r="B52" s="1" t="n">
        <v>1</v>
      </c>
      <c r="D52" s="1" t="n">
        <v>0.727</v>
      </c>
      <c r="E52" s="55" t="n">
        <v>7</v>
      </c>
      <c r="F52" s="1" t="n">
        <v>0</v>
      </c>
      <c r="G52" s="1" t="n">
        <v>1</v>
      </c>
      <c r="H52" s="1" t="n">
        <v>8</v>
      </c>
      <c r="I52" s="1" t="n">
        <v>3</v>
      </c>
      <c r="J52" s="1" t="n">
        <v>72.5</v>
      </c>
      <c r="K52" s="1" t="n">
        <v>67.6</v>
      </c>
      <c r="L52" s="1" t="n">
        <v>3</v>
      </c>
      <c r="M52" s="1" t="n">
        <v>14.2</v>
      </c>
      <c r="N52" s="1" t="n">
        <f aca="false">449/1279</f>
        <v>0.3510555121</v>
      </c>
      <c r="O52" s="1" t="n">
        <f aca="false">231*3/2391</f>
        <v>0.2898368883</v>
      </c>
      <c r="P52" s="1" t="n">
        <v>0.678</v>
      </c>
      <c r="Q52" s="1" t="n">
        <v>12</v>
      </c>
      <c r="R52" s="1" t="n">
        <v>7</v>
      </c>
      <c r="S52" s="1" t="n">
        <v>0.636</v>
      </c>
    </row>
    <row r="53" customFormat="false" ht="12.75" hidden="false" customHeight="false" outlineLevel="0" collapsed="false">
      <c r="A53" s="1" t="s">
        <v>81</v>
      </c>
      <c r="B53" s="1" t="n">
        <v>6</v>
      </c>
      <c r="D53" s="1" t="n">
        <v>0.857</v>
      </c>
      <c r="E53" s="55" t="n">
        <v>8</v>
      </c>
      <c r="F53" s="1" t="n">
        <v>0</v>
      </c>
      <c r="G53" s="1" t="n">
        <v>1</v>
      </c>
      <c r="H53" s="1" t="n">
        <v>5</v>
      </c>
      <c r="I53" s="1" t="n">
        <v>4</v>
      </c>
      <c r="J53" s="1" t="n">
        <v>79.6</v>
      </c>
      <c r="K53" s="1" t="n">
        <v>69.6</v>
      </c>
      <c r="L53" s="1" t="n">
        <v>2</v>
      </c>
      <c r="M53" s="1" t="n">
        <v>14.1</v>
      </c>
      <c r="N53" s="1" t="n">
        <f aca="false">478/1421</f>
        <v>0.336382829</v>
      </c>
      <c r="O53" s="1" t="n">
        <f aca="false">186*3/2785</f>
        <v>0.2003590664</v>
      </c>
      <c r="P53" s="1" t="n">
        <v>0.694</v>
      </c>
      <c r="Q53" s="1" t="n">
        <v>9</v>
      </c>
      <c r="R53" s="1" t="n">
        <v>13.8</v>
      </c>
      <c r="S53" s="1" t="n">
        <v>0.889</v>
      </c>
    </row>
    <row r="54" customFormat="false" ht="12.75" hidden="false" customHeight="false" outlineLevel="0" collapsed="false">
      <c r="A54" s="1" t="s">
        <v>33</v>
      </c>
      <c r="B54" s="1" t="n">
        <v>4</v>
      </c>
      <c r="D54" s="1" t="n">
        <v>0.788</v>
      </c>
      <c r="E54" s="55" t="n">
        <v>8</v>
      </c>
      <c r="F54" s="1" t="n">
        <v>0</v>
      </c>
      <c r="G54" s="1" t="n">
        <v>1</v>
      </c>
      <c r="H54" s="1" t="n">
        <v>4</v>
      </c>
      <c r="I54" s="1" t="n">
        <v>5</v>
      </c>
      <c r="J54" s="1" t="n">
        <v>79.3</v>
      </c>
      <c r="K54" s="1" t="n">
        <v>69.7</v>
      </c>
      <c r="L54" s="1" t="n">
        <v>3</v>
      </c>
      <c r="M54" s="1" t="n">
        <v>13.1</v>
      </c>
      <c r="N54" s="1" t="n">
        <f aca="false">531/1386</f>
        <v>0.3831168831</v>
      </c>
      <c r="O54" s="1" t="n">
        <f aca="false">196*3/2618</f>
        <v>0.2245989305</v>
      </c>
      <c r="P54" s="1" t="n">
        <v>0.721</v>
      </c>
      <c r="Q54" s="1" t="n">
        <v>10</v>
      </c>
      <c r="R54" s="1" t="n">
        <v>13.6</v>
      </c>
      <c r="S54" s="1" t="n">
        <v>0.6</v>
      </c>
    </row>
    <row r="55" customFormat="false" ht="12.75" hidden="false" customHeight="false" outlineLevel="0" collapsed="false">
      <c r="A55" s="1" t="s">
        <v>128</v>
      </c>
      <c r="B55" s="1" t="n">
        <v>0</v>
      </c>
      <c r="D55" s="1" t="n">
        <v>0.813</v>
      </c>
      <c r="E55" s="55" t="n">
        <v>9</v>
      </c>
      <c r="F55" s="1" t="n">
        <v>1</v>
      </c>
      <c r="G55" s="1" t="n">
        <v>0</v>
      </c>
      <c r="H55" s="1" t="n">
        <v>0</v>
      </c>
      <c r="I55" s="1" t="n">
        <v>1</v>
      </c>
      <c r="J55" s="1" t="n">
        <v>79.9</v>
      </c>
      <c r="K55" s="1" t="n">
        <v>70.7</v>
      </c>
      <c r="L55" s="1" t="n">
        <v>0</v>
      </c>
      <c r="M55" s="1" t="n">
        <v>13.6</v>
      </c>
      <c r="N55" s="1" t="n">
        <f aca="false">486/1285</f>
        <v>0.3782101167</v>
      </c>
      <c r="O55" s="1" t="n">
        <f aca="false">312*3/2556</f>
        <v>0.3661971831</v>
      </c>
      <c r="P55" s="1" t="n">
        <v>0.686</v>
      </c>
      <c r="Q55" s="1" t="n">
        <v>11</v>
      </c>
      <c r="R55" s="1" t="n">
        <v>12.5</v>
      </c>
      <c r="S55" s="1" t="n">
        <v>0.875</v>
      </c>
    </row>
    <row r="56" customFormat="false" ht="12.75" hidden="false" customHeight="false" outlineLevel="0" collapsed="false">
      <c r="A56" s="1" t="s">
        <v>204</v>
      </c>
      <c r="B56" s="1" t="n">
        <v>1</v>
      </c>
      <c r="D56" s="1" t="n">
        <v>0.697</v>
      </c>
      <c r="E56" s="55" t="n">
        <v>9</v>
      </c>
      <c r="F56" s="1" t="n">
        <v>1</v>
      </c>
      <c r="G56" s="1" t="n">
        <v>0</v>
      </c>
      <c r="H56" s="1" t="n">
        <v>0</v>
      </c>
      <c r="I56" s="1" t="n">
        <v>2</v>
      </c>
      <c r="J56" s="1" t="n">
        <v>73.4</v>
      </c>
      <c r="K56" s="1" t="n">
        <v>65.3</v>
      </c>
      <c r="L56" s="1" t="n">
        <v>2</v>
      </c>
      <c r="M56" s="1" t="n">
        <v>14.2</v>
      </c>
      <c r="N56" s="1" t="n">
        <f aca="false">365/1221</f>
        <v>0.2989352989</v>
      </c>
      <c r="O56" s="1" t="n">
        <f aca="false">217*3/2423</f>
        <v>0.268675196</v>
      </c>
      <c r="P56" s="1" t="n">
        <v>0.73</v>
      </c>
      <c r="Q56" s="1" t="n">
        <v>12</v>
      </c>
      <c r="R56" s="1" t="n">
        <v>11.8</v>
      </c>
      <c r="S56" s="1" t="n">
        <v>0.429</v>
      </c>
    </row>
    <row r="57" customFormat="false" ht="12.75" hidden="false" customHeight="false" outlineLevel="0" collapsed="false">
      <c r="A57" s="1" t="s">
        <v>206</v>
      </c>
      <c r="B57" s="1" t="n">
        <v>1</v>
      </c>
      <c r="D57" s="1" t="n">
        <v>0.758</v>
      </c>
      <c r="E57" s="55" t="n">
        <v>7</v>
      </c>
      <c r="F57" s="1" t="n">
        <v>0</v>
      </c>
      <c r="G57" s="1" t="n">
        <v>0</v>
      </c>
      <c r="H57" s="1" t="n">
        <v>7</v>
      </c>
      <c r="I57" s="1" t="n">
        <v>4</v>
      </c>
      <c r="J57" s="1" t="n">
        <v>66.4</v>
      </c>
      <c r="K57" s="1" t="n">
        <v>60</v>
      </c>
      <c r="L57" s="1" t="n">
        <v>2</v>
      </c>
      <c r="M57" s="1" t="n">
        <v>12.9</v>
      </c>
      <c r="N57" s="1" t="n">
        <f aca="false">333/1093</f>
        <v>0.3046660567</v>
      </c>
      <c r="O57" s="1" t="n">
        <f aca="false">236*3/2191</f>
        <v>0.3231401187</v>
      </c>
      <c r="P57" s="1" t="n">
        <v>0.711</v>
      </c>
      <c r="R57" s="1" t="n">
        <v>9.8</v>
      </c>
      <c r="S57" s="1" t="n">
        <v>0.636</v>
      </c>
    </row>
    <row r="58" customFormat="false" ht="12.75" hidden="false" customHeight="false" outlineLevel="0" collapsed="false">
      <c r="A58" s="1" t="s">
        <v>471</v>
      </c>
      <c r="B58" s="1" t="n">
        <v>0</v>
      </c>
      <c r="D58" s="1" t="n">
        <v>0.727</v>
      </c>
      <c r="E58" s="55" t="n">
        <v>7</v>
      </c>
      <c r="F58" s="1" t="n">
        <v>1</v>
      </c>
      <c r="G58" s="1" t="n">
        <v>0</v>
      </c>
      <c r="H58" s="1" t="n">
        <v>3</v>
      </c>
      <c r="I58" s="1" t="n">
        <v>1</v>
      </c>
      <c r="J58" s="1" t="n">
        <v>66.6</v>
      </c>
      <c r="K58" s="1" t="n">
        <v>60</v>
      </c>
      <c r="L58" s="1" t="n">
        <v>2</v>
      </c>
      <c r="M58" s="1" t="n">
        <v>12.3</v>
      </c>
      <c r="N58" s="1" t="n">
        <f aca="false">414/1154</f>
        <v>0.3587521664</v>
      </c>
      <c r="O58" s="1" t="n">
        <f aca="false">134*3/2197</f>
        <v>0.1829767865</v>
      </c>
      <c r="P58" s="1" t="n">
        <v>0.714</v>
      </c>
      <c r="Q58" s="1" t="n">
        <v>9</v>
      </c>
      <c r="R58" s="1" t="n">
        <v>10.7</v>
      </c>
      <c r="S58" s="1" t="n">
        <v>0.778</v>
      </c>
    </row>
    <row r="59" customFormat="false" ht="12.75" hidden="false" customHeight="false" outlineLevel="0" collapsed="false">
      <c r="A59" s="1" t="s">
        <v>134</v>
      </c>
      <c r="B59" s="1" t="n">
        <v>0</v>
      </c>
      <c r="D59" s="1" t="n">
        <v>0.636</v>
      </c>
      <c r="E59" s="55" t="n">
        <v>8</v>
      </c>
      <c r="F59" s="55" t="n">
        <v>1</v>
      </c>
      <c r="G59" s="1" t="n">
        <v>0</v>
      </c>
      <c r="H59" s="1" t="n">
        <v>0</v>
      </c>
      <c r="I59" s="1" t="n">
        <v>1</v>
      </c>
      <c r="J59" s="1" t="n">
        <v>68.9</v>
      </c>
      <c r="K59" s="1" t="n">
        <v>64</v>
      </c>
      <c r="L59" s="1" t="n">
        <v>0</v>
      </c>
      <c r="M59" s="1" t="n">
        <v>14.5</v>
      </c>
      <c r="N59" s="1" t="n">
        <f aca="false">369/1152</f>
        <v>0.3203125</v>
      </c>
      <c r="O59" s="1" t="n">
        <f aca="false">144*3/2040</f>
        <v>0.2117647059</v>
      </c>
      <c r="P59" s="1" t="n">
        <v>0.667</v>
      </c>
      <c r="Q59" s="1" t="n">
        <v>11</v>
      </c>
      <c r="R59" s="1" t="n">
        <v>7.4</v>
      </c>
      <c r="S59" s="1" t="n">
        <v>0.375</v>
      </c>
    </row>
    <row r="60" customFormat="false" ht="12.75" hidden="false" customHeight="false" outlineLevel="0" collapsed="false">
      <c r="A60" s="1" t="s">
        <v>582</v>
      </c>
      <c r="B60" s="1" t="n">
        <v>0</v>
      </c>
      <c r="D60" s="1" t="n">
        <v>0.656</v>
      </c>
      <c r="E60" s="55" t="n">
        <v>7</v>
      </c>
      <c r="F60" s="1" t="n">
        <v>1</v>
      </c>
      <c r="G60" s="1" t="n">
        <v>0</v>
      </c>
      <c r="H60" s="1" t="n">
        <v>0</v>
      </c>
      <c r="I60" s="1" t="n">
        <v>2</v>
      </c>
      <c r="J60" s="1" t="n">
        <v>75.1</v>
      </c>
      <c r="K60" s="1" t="n">
        <v>71.9</v>
      </c>
      <c r="L60" s="1" t="n">
        <v>0</v>
      </c>
      <c r="M60" s="1" t="n">
        <v>15.1</v>
      </c>
      <c r="N60" s="1" t="n">
        <f aca="false">381/1094</f>
        <v>0.3482632541</v>
      </c>
      <c r="O60" s="1" t="n">
        <f aca="false">225*3/2403</f>
        <v>0.2808988764</v>
      </c>
      <c r="P60" s="1" t="n">
        <v>0.727</v>
      </c>
      <c r="Q60" s="1" t="n">
        <v>11</v>
      </c>
      <c r="R60" s="1" t="n">
        <v>4.5</v>
      </c>
      <c r="S60" s="1" t="n">
        <v>0.8</v>
      </c>
    </row>
    <row r="61" customFormat="false" ht="12.75" hidden="false" customHeight="false" outlineLevel="0" collapsed="false">
      <c r="A61" s="1" t="s">
        <v>136</v>
      </c>
      <c r="B61" s="1" t="n">
        <v>1</v>
      </c>
      <c r="D61" s="1" t="n">
        <v>0.806</v>
      </c>
      <c r="E61" s="55" t="n">
        <v>8</v>
      </c>
      <c r="F61" s="1" t="n">
        <v>0</v>
      </c>
      <c r="G61" s="1" t="n">
        <v>1</v>
      </c>
      <c r="H61" s="1" t="n">
        <v>6</v>
      </c>
      <c r="I61" s="1" t="n">
        <v>4</v>
      </c>
      <c r="J61" s="1" t="n">
        <v>77.8</v>
      </c>
      <c r="K61" s="1" t="n">
        <v>67.8</v>
      </c>
      <c r="L61" s="1" t="n">
        <v>2</v>
      </c>
      <c r="M61" s="1" t="n">
        <v>15.3</v>
      </c>
      <c r="N61" s="1" t="n">
        <f aca="false">459/1292</f>
        <v>0.3552631579</v>
      </c>
      <c r="O61" s="1" t="n">
        <f aca="false">191*3/2412</f>
        <v>0.2375621891</v>
      </c>
      <c r="P61" s="1" t="n">
        <v>0.752</v>
      </c>
      <c r="Q61" s="1" t="n">
        <v>10</v>
      </c>
      <c r="R61" s="1" t="n">
        <v>14.3</v>
      </c>
      <c r="S61" s="1" t="n">
        <v>0.8</v>
      </c>
    </row>
    <row r="62" customFormat="false" ht="12.75" hidden="false" customHeight="false" outlineLevel="0" collapsed="false">
      <c r="A62" s="1" t="s">
        <v>208</v>
      </c>
      <c r="B62" s="1" t="n">
        <v>0</v>
      </c>
      <c r="D62" s="1" t="n">
        <v>0.813</v>
      </c>
      <c r="E62" s="55" t="n">
        <v>10</v>
      </c>
      <c r="F62" s="1" t="n">
        <v>1</v>
      </c>
      <c r="G62" s="1" t="n">
        <v>0</v>
      </c>
      <c r="H62" s="1" t="n">
        <v>1</v>
      </c>
      <c r="I62" s="1" t="n">
        <v>2</v>
      </c>
      <c r="J62" s="1" t="n">
        <v>74.5</v>
      </c>
      <c r="K62" s="1" t="n">
        <v>67.6</v>
      </c>
      <c r="L62" s="1" t="n">
        <v>0</v>
      </c>
      <c r="M62" s="1" t="n">
        <v>12.6</v>
      </c>
      <c r="N62" s="1" t="n">
        <f aca="false">345/1077</f>
        <v>0.3203342618</v>
      </c>
      <c r="O62" s="1" t="n">
        <f aca="false">189*3/2385</f>
        <v>0.2377358491</v>
      </c>
      <c r="P62" s="1" t="n">
        <v>0.73</v>
      </c>
      <c r="Q62" s="1" t="n">
        <v>11</v>
      </c>
      <c r="R62" s="1" t="n">
        <v>10.2</v>
      </c>
      <c r="S62" s="1" t="n">
        <f aca="false">7/9</f>
        <v>0.7777777778</v>
      </c>
    </row>
    <row r="63" customFormat="false" ht="12.75" hidden="false" customHeight="false" outlineLevel="0" collapsed="false">
      <c r="A63" s="1" t="s">
        <v>379</v>
      </c>
      <c r="B63" s="1" t="n">
        <v>0</v>
      </c>
      <c r="D63" s="1" t="n">
        <v>0.727</v>
      </c>
      <c r="E63" s="55" t="n">
        <v>7</v>
      </c>
      <c r="F63" s="1" t="n">
        <v>1</v>
      </c>
      <c r="G63" s="1" t="n">
        <v>0</v>
      </c>
      <c r="H63" s="1" t="n">
        <v>1</v>
      </c>
      <c r="I63" s="1" t="n">
        <v>2</v>
      </c>
      <c r="J63" s="1" t="n">
        <v>73.6</v>
      </c>
      <c r="K63" s="1" t="n">
        <v>66.5</v>
      </c>
      <c r="L63" s="1" t="n">
        <v>2</v>
      </c>
      <c r="M63" s="1" t="n">
        <v>15.1</v>
      </c>
      <c r="N63" s="1" t="n">
        <f aca="false">411/1186</f>
        <v>0.3465430017</v>
      </c>
      <c r="O63" s="1" t="n">
        <f aca="false">253*3/2430</f>
        <v>0.312345679</v>
      </c>
      <c r="P63" s="1" t="n">
        <v>0.66</v>
      </c>
      <c r="Q63" s="1" t="n">
        <v>12</v>
      </c>
      <c r="R63" s="1" t="n">
        <v>10.3</v>
      </c>
      <c r="S63" s="1" t="n">
        <f aca="false">2/6</f>
        <v>0.3333333333</v>
      </c>
    </row>
    <row r="64" customFormat="false" ht="12.75" hidden="false" customHeight="false" outlineLevel="0" collapsed="false">
      <c r="A64" s="1" t="s">
        <v>138</v>
      </c>
      <c r="B64" s="1" t="n">
        <v>2</v>
      </c>
      <c r="D64" s="1" t="n">
        <v>0.75</v>
      </c>
      <c r="E64" s="55" t="n">
        <v>7</v>
      </c>
      <c r="F64" s="1" t="n">
        <v>0</v>
      </c>
      <c r="G64" s="1" t="n">
        <v>1</v>
      </c>
      <c r="H64" s="1" t="n">
        <v>4</v>
      </c>
      <c r="I64" s="1" t="n">
        <v>4</v>
      </c>
      <c r="J64" s="1" t="n">
        <v>70.3</v>
      </c>
      <c r="K64" s="1" t="n">
        <v>59.3</v>
      </c>
      <c r="L64" s="1" t="n">
        <v>3</v>
      </c>
      <c r="M64" s="1" t="n">
        <v>10.4</v>
      </c>
      <c r="N64" s="1" t="n">
        <f aca="false">326/1045</f>
        <v>0.3119617225</v>
      </c>
      <c r="O64" s="1" t="n">
        <f aca="false">201*3/2250</f>
        <v>0.268</v>
      </c>
      <c r="P64" s="1" t="n">
        <v>0.732</v>
      </c>
      <c r="Q64" s="1" t="n">
        <v>9</v>
      </c>
      <c r="R64" s="1" t="n">
        <v>17.3</v>
      </c>
      <c r="S64" s="1" t="n">
        <f aca="false">3/5</f>
        <v>0.6</v>
      </c>
    </row>
    <row r="65" customFormat="false" ht="12.75" hidden="false" customHeight="false" outlineLevel="0" collapsed="false">
      <c r="A65" s="1" t="s">
        <v>36</v>
      </c>
      <c r="B65" s="1" t="n">
        <v>1</v>
      </c>
      <c r="D65" s="1" t="n">
        <v>0.813</v>
      </c>
      <c r="E65" s="55" t="n">
        <v>9</v>
      </c>
      <c r="F65" s="1" t="n">
        <v>0</v>
      </c>
      <c r="G65" s="1" t="n">
        <v>0</v>
      </c>
      <c r="H65" s="1" t="n">
        <v>6</v>
      </c>
      <c r="I65" s="1" t="n">
        <v>3</v>
      </c>
      <c r="J65" s="1" t="n">
        <v>77.6</v>
      </c>
      <c r="K65" s="1" t="n">
        <v>66.1</v>
      </c>
      <c r="L65" s="1" t="n">
        <v>2</v>
      </c>
      <c r="M65" s="1" t="n">
        <v>12.8</v>
      </c>
      <c r="N65" s="1" t="n">
        <f aca="false">460/1302</f>
        <v>0.3533026114</v>
      </c>
      <c r="O65" s="1" t="n">
        <f aca="false">212*3/2569</f>
        <v>0.2475671467</v>
      </c>
      <c r="P65" s="1" t="n">
        <v>0.745</v>
      </c>
      <c r="Q65" s="1" t="n">
        <v>10</v>
      </c>
      <c r="R65" s="1" t="n">
        <v>16.5</v>
      </c>
      <c r="S65" s="1" t="n">
        <f aca="false">5/6</f>
        <v>0.8333333333</v>
      </c>
    </row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RowHeight="12.75" zeroHeight="false" outlineLevelRow="0" outlineLevelCol="0"/>
  <cols>
    <col collapsed="false" customWidth="true" hidden="false" outlineLevel="0" max="1" min="1" style="0" width="23.14"/>
    <col collapsed="false" customWidth="true" hidden="false" outlineLevel="0" max="20" min="2" style="0" width="17.29"/>
    <col collapsed="false" customWidth="true" hidden="false" outlineLevel="0" max="1025" min="21" style="0" width="14.43"/>
  </cols>
  <sheetData>
    <row r="1" customFormat="false" ht="12.75" hidden="false" customHeight="false" outlineLevel="0" collapsed="false">
      <c r="A1" s="1" t="s">
        <v>2</v>
      </c>
      <c r="B1" s="1" t="s">
        <v>213</v>
      </c>
      <c r="D1" s="1" t="s">
        <v>473</v>
      </c>
      <c r="E1" s="1" t="s">
        <v>498</v>
      </c>
      <c r="F1" s="1" t="s">
        <v>442</v>
      </c>
      <c r="G1" s="1" t="s">
        <v>443</v>
      </c>
      <c r="H1" s="1" t="s">
        <v>444</v>
      </c>
      <c r="I1" s="1" t="s">
        <v>445</v>
      </c>
      <c r="J1" s="1" t="s">
        <v>474</v>
      </c>
      <c r="K1" s="1" t="s">
        <v>475</v>
      </c>
      <c r="L1" s="1" t="s">
        <v>446</v>
      </c>
      <c r="M1" s="1" t="s">
        <v>447</v>
      </c>
      <c r="N1" s="1" t="s">
        <v>448</v>
      </c>
      <c r="O1" s="1" t="s">
        <v>476</v>
      </c>
      <c r="P1" s="1" t="s">
        <v>16</v>
      </c>
      <c r="Q1" s="1" t="s">
        <v>451</v>
      </c>
      <c r="R1" s="1" t="s">
        <v>546</v>
      </c>
      <c r="S1" s="1" t="s">
        <v>453</v>
      </c>
    </row>
    <row r="2" customFormat="false" ht="12.75" hidden="false" customHeight="false" outlineLevel="0" collapsed="false">
      <c r="A2" s="1" t="s">
        <v>57</v>
      </c>
      <c r="B2" s="1" t="n">
        <v>1</v>
      </c>
      <c r="D2" s="1" t="n">
        <f aca="false">27/(27+8)</f>
        <v>0.7714285714</v>
      </c>
      <c r="E2" s="1" t="n">
        <v>6</v>
      </c>
      <c r="F2" s="1" t="n">
        <v>0</v>
      </c>
      <c r="G2" s="1" t="n">
        <v>1</v>
      </c>
      <c r="H2" s="1" t="n">
        <v>5</v>
      </c>
      <c r="I2" s="1" t="n">
        <v>4</v>
      </c>
      <c r="J2" s="1" t="n">
        <v>75.943</v>
      </c>
      <c r="K2" s="1" t="n">
        <v>66.7</v>
      </c>
      <c r="L2" s="1" t="n">
        <v>0</v>
      </c>
      <c r="M2" s="1" t="n">
        <v>20.1</v>
      </c>
      <c r="N2" s="1" t="n">
        <f aca="false">506/1222</f>
        <v>0.4140752864</v>
      </c>
      <c r="O2" s="1" t="n">
        <f aca="false">0.081640331 *3</f>
        <v>0.244920993</v>
      </c>
      <c r="P2" s="1" t="n">
        <v>0.736</v>
      </c>
      <c r="Q2" s="1" t="n">
        <v>13</v>
      </c>
      <c r="S2" s="1" t="n">
        <f aca="false">8/(8+2)</f>
        <v>0.8</v>
      </c>
    </row>
    <row r="3" customFormat="false" ht="12.75" hidden="false" customHeight="false" outlineLevel="0" collapsed="false">
      <c r="A3" s="1" t="s">
        <v>583</v>
      </c>
      <c r="B3" s="1" t="n">
        <v>-1</v>
      </c>
      <c r="D3" s="1" t="n">
        <f aca="false">(11+7+2)/(11+7+2+9+1)</f>
        <v>0.6666666667</v>
      </c>
      <c r="E3" s="1" t="n">
        <v>7</v>
      </c>
      <c r="F3" s="1" t="n">
        <v>1</v>
      </c>
      <c r="G3" s="1" t="n">
        <v>0</v>
      </c>
      <c r="H3" s="1" t="n">
        <v>0</v>
      </c>
      <c r="I3" s="1" t="n">
        <v>1</v>
      </c>
      <c r="J3" s="1" t="n">
        <v>79.774</v>
      </c>
      <c r="K3" s="1" t="n">
        <v>76.8</v>
      </c>
      <c r="L3" s="1" t="n">
        <v>0</v>
      </c>
      <c r="M3" s="1" t="n">
        <v>22.5</v>
      </c>
      <c r="N3" s="1" t="n">
        <f aca="false">441/1177</f>
        <v>0.3746813934</v>
      </c>
      <c r="O3" s="1" t="n">
        <f aca="false">0.06995552 *3</f>
        <v>0.20986656</v>
      </c>
      <c r="P3" s="1" t="n">
        <v>0.644</v>
      </c>
      <c r="Q3" s="1" t="n">
        <v>14</v>
      </c>
      <c r="S3" s="1" t="n">
        <f aca="false">6/(6+4)</f>
        <v>0.6</v>
      </c>
    </row>
    <row r="4" customFormat="false" ht="12.75" hidden="false" customHeight="false" outlineLevel="0" collapsed="false">
      <c r="A4" s="1" t="s">
        <v>26</v>
      </c>
      <c r="B4" s="1" t="n">
        <v>2</v>
      </c>
      <c r="D4" s="1" t="n">
        <f aca="false">24/(24+10)</f>
        <v>0.7058823529</v>
      </c>
      <c r="E4" s="1" t="n">
        <v>7</v>
      </c>
      <c r="F4" s="1" t="n">
        <v>1</v>
      </c>
      <c r="G4" s="1" t="n">
        <v>1</v>
      </c>
      <c r="H4" s="1" t="n">
        <v>2</v>
      </c>
      <c r="I4" s="1" t="n">
        <v>1</v>
      </c>
      <c r="J4" s="1" t="n">
        <v>82.147</v>
      </c>
      <c r="K4" s="1" t="n">
        <v>77.7</v>
      </c>
      <c r="L4" s="1" t="n">
        <v>3</v>
      </c>
      <c r="M4" s="1" t="n">
        <v>19</v>
      </c>
      <c r="N4" s="1" t="n">
        <f aca="false">391/1169</f>
        <v>0.3344739093</v>
      </c>
      <c r="O4" s="1" t="n">
        <f aca="false">0.092373792 *3</f>
        <v>0.277121376</v>
      </c>
      <c r="P4" s="1" t="n">
        <v>0.731</v>
      </c>
      <c r="S4" s="1" t="n">
        <f aca="false">7/(7+4)</f>
        <v>0.636363636363636</v>
      </c>
    </row>
    <row r="5" customFormat="false" ht="12.75" hidden="false" customHeight="false" outlineLevel="0" collapsed="false">
      <c r="A5" s="1" t="s">
        <v>504</v>
      </c>
      <c r="B5" s="1" t="n">
        <v>0</v>
      </c>
      <c r="D5" s="1" t="n">
        <f aca="false">20/(20+12)</f>
        <v>0.625</v>
      </c>
      <c r="E5" s="1" t="n">
        <v>5</v>
      </c>
      <c r="F5" s="1" t="n">
        <v>0</v>
      </c>
      <c r="G5" s="1" t="n">
        <v>1</v>
      </c>
      <c r="H5" s="1" t="n">
        <v>0</v>
      </c>
      <c r="I5" s="1" t="n">
        <v>1</v>
      </c>
      <c r="J5" s="1" t="n">
        <v>73.563</v>
      </c>
      <c r="K5" s="1" t="n">
        <v>70.5</v>
      </c>
      <c r="L5" s="1" t="n">
        <v>0</v>
      </c>
      <c r="M5" s="1" t="n">
        <v>19.7</v>
      </c>
      <c r="N5" s="1" t="n">
        <f aca="false">440/1164</f>
        <v>0.3780068729</v>
      </c>
      <c r="O5" s="1" t="n">
        <v>0.090059473</v>
      </c>
      <c r="P5" s="1" t="n">
        <v>0.696</v>
      </c>
      <c r="S5" s="1" t="n">
        <f aca="false">7/(7+4)</f>
        <v>0.636363636363636</v>
      </c>
    </row>
    <row r="6" customFormat="false" ht="12.75" hidden="false" customHeight="false" outlineLevel="0" collapsed="false">
      <c r="A6" s="1" t="s">
        <v>584</v>
      </c>
      <c r="B6" s="1" t="n">
        <v>0</v>
      </c>
      <c r="D6" s="1" t="n">
        <f aca="false">22/(22+10)</f>
        <v>0.6875</v>
      </c>
      <c r="E6" s="1" t="n">
        <v>9</v>
      </c>
      <c r="F6" s="1" t="n">
        <v>1</v>
      </c>
      <c r="G6" s="1" t="n">
        <v>0</v>
      </c>
      <c r="H6" s="1" t="n">
        <v>0</v>
      </c>
      <c r="I6" s="1" t="n">
        <v>1</v>
      </c>
      <c r="J6" s="1" t="n">
        <v>67.094</v>
      </c>
      <c r="K6" s="1" t="n">
        <v>64</v>
      </c>
      <c r="L6" s="1" t="n">
        <v>0</v>
      </c>
      <c r="M6" s="1" t="n">
        <v>19.7</v>
      </c>
      <c r="N6" s="1" t="n">
        <f aca="false">376/1162</f>
        <v>0.3235800344</v>
      </c>
      <c r="O6" s="1" t="n">
        <f aca="false">0.094550536 *3</f>
        <v>0.283651608</v>
      </c>
      <c r="P6" s="1" t="n">
        <v>0.688</v>
      </c>
      <c r="S6" s="1" t="n">
        <f aca="false">6/(6+3)</f>
        <v>0.6666666667</v>
      </c>
    </row>
    <row r="7" customFormat="false" ht="12.75" hidden="false" customHeight="false" outlineLevel="0" collapsed="false">
      <c r="A7" s="1" t="s">
        <v>179</v>
      </c>
      <c r="B7" s="1" t="n">
        <v>1</v>
      </c>
      <c r="D7" s="1" t="n">
        <f aca="false">23/(23+9)</f>
        <v>0.71875</v>
      </c>
      <c r="E7" s="1" t="n">
        <v>6</v>
      </c>
      <c r="F7" s="1" t="n">
        <v>0</v>
      </c>
      <c r="G7" s="1" t="n">
        <v>1</v>
      </c>
      <c r="H7" s="1" t="n">
        <v>1</v>
      </c>
      <c r="I7" s="1" t="n">
        <v>1</v>
      </c>
      <c r="J7" s="1" t="n">
        <v>72.188</v>
      </c>
      <c r="K7" s="1" t="n">
        <v>66.6</v>
      </c>
      <c r="L7" s="1" t="n">
        <v>0</v>
      </c>
      <c r="M7" s="1" t="n">
        <v>19</v>
      </c>
      <c r="N7" s="1" t="n">
        <f aca="false">340/1017</f>
        <v>0.3343166175</v>
      </c>
      <c r="O7" s="1" t="n">
        <f aca="false">0.080952381 *3</f>
        <v>0.242857143</v>
      </c>
      <c r="P7" s="1" t="n">
        <v>0.677</v>
      </c>
      <c r="S7" s="1" t="n">
        <f aca="false">3/(3+1)</f>
        <v>0.75</v>
      </c>
    </row>
    <row r="8" customFormat="false" ht="12.75" hidden="false" customHeight="false" outlineLevel="0" collapsed="false">
      <c r="A8" s="1" t="s">
        <v>585</v>
      </c>
      <c r="B8" s="1" t="n">
        <v>0</v>
      </c>
      <c r="D8" s="1" t="n">
        <f aca="false">27/(27+5)</f>
        <v>0.84375</v>
      </c>
      <c r="E8" s="1" t="n">
        <v>9</v>
      </c>
      <c r="F8" s="1" t="n">
        <v>1</v>
      </c>
      <c r="G8" s="1" t="n">
        <v>0</v>
      </c>
      <c r="H8" s="1" t="n">
        <v>0</v>
      </c>
      <c r="I8" s="1" t="n">
        <v>1</v>
      </c>
      <c r="J8" s="1" t="n">
        <v>71.25</v>
      </c>
      <c r="K8" s="1" t="n">
        <v>63.1</v>
      </c>
      <c r="L8" s="1" t="n">
        <v>1</v>
      </c>
      <c r="M8" s="1" t="n">
        <v>22</v>
      </c>
      <c r="N8" s="1" t="n">
        <f aca="false">408/1219</f>
        <v>0.3347005742</v>
      </c>
      <c r="O8" s="1" t="n">
        <f aca="false">0.060964912 *3</f>
        <v>0.182894736</v>
      </c>
      <c r="P8" s="1" t="n">
        <v>0.736</v>
      </c>
      <c r="S8" s="1" t="n">
        <f aca="false">5/(5+0)</f>
        <v>1</v>
      </c>
    </row>
    <row r="9" customFormat="false" ht="12.75" hidden="false" customHeight="false" outlineLevel="0" collapsed="false">
      <c r="A9" s="1" t="s">
        <v>559</v>
      </c>
      <c r="B9" s="1" t="n">
        <v>0</v>
      </c>
      <c r="D9" s="1" t="n">
        <f aca="false">18/(18+12)</f>
        <v>0.6</v>
      </c>
      <c r="E9" s="1" t="n">
        <v>4</v>
      </c>
      <c r="F9" s="1" t="n">
        <v>0</v>
      </c>
      <c r="G9" s="1" t="n">
        <v>0</v>
      </c>
      <c r="H9" s="1" t="n">
        <v>0</v>
      </c>
      <c r="I9" s="1" t="n">
        <v>1</v>
      </c>
      <c r="J9" s="1" t="n">
        <v>73.5</v>
      </c>
      <c r="K9" s="1" t="n">
        <v>68.6</v>
      </c>
      <c r="L9" s="1" t="n">
        <v>0</v>
      </c>
      <c r="M9" s="1" t="n">
        <v>19.8</v>
      </c>
      <c r="N9" s="1" t="n">
        <f aca="false">364/1103</f>
        <v>0.3300090662</v>
      </c>
      <c r="O9" s="1" t="n">
        <f aca="false">0.112018141 *3</f>
        <v>0.336054423</v>
      </c>
      <c r="P9" s="1" t="n">
        <v>0.708</v>
      </c>
      <c r="S9" s="1" t="n">
        <f aca="false">2/(2+2)</f>
        <v>0.5</v>
      </c>
    </row>
    <row r="10" customFormat="false" ht="12.75" hidden="false" customHeight="false" outlineLevel="0" collapsed="false">
      <c r="A10" s="1" t="s">
        <v>586</v>
      </c>
      <c r="B10" s="1" t="n">
        <v>1</v>
      </c>
      <c r="D10" s="1" t="n">
        <f aca="false">31/(31+4)</f>
        <v>0.8857142857</v>
      </c>
      <c r="E10" s="1" t="n">
        <v>8</v>
      </c>
      <c r="F10" s="1" t="n">
        <v>1</v>
      </c>
      <c r="G10" s="1" t="n">
        <v>0</v>
      </c>
      <c r="H10" s="1" t="n">
        <v>1</v>
      </c>
      <c r="I10" s="1" t="n">
        <v>1</v>
      </c>
      <c r="J10" s="1" t="n">
        <v>78.229</v>
      </c>
      <c r="K10" s="1" t="n">
        <v>60.4</v>
      </c>
      <c r="L10" s="1" t="n">
        <v>3</v>
      </c>
      <c r="M10" s="1" t="n">
        <v>17.1</v>
      </c>
      <c r="N10" s="1" t="n">
        <f aca="false">429/1301</f>
        <v>0.329746349</v>
      </c>
      <c r="O10" s="1" t="n">
        <f aca="false">0.07633309 *3</f>
        <v>0.22899927</v>
      </c>
      <c r="P10" s="1" t="n">
        <v>0.709</v>
      </c>
      <c r="S10" s="1" t="n">
        <f aca="false">3/(3+2)</f>
        <v>0.6</v>
      </c>
    </row>
    <row r="11" customFormat="false" ht="12.75" hidden="false" customHeight="false" outlineLevel="0" collapsed="false">
      <c r="A11" s="1" t="s">
        <v>182</v>
      </c>
      <c r="B11" s="1" t="n">
        <v>3</v>
      </c>
      <c r="D11" s="1" t="n">
        <f aca="false">27/(27+7)</f>
        <v>0.7941176471</v>
      </c>
      <c r="E11" s="1" t="n">
        <v>9</v>
      </c>
      <c r="F11" s="1" t="n">
        <v>0</v>
      </c>
      <c r="G11" s="1" t="n">
        <v>1</v>
      </c>
      <c r="H11" s="1" t="n">
        <v>3</v>
      </c>
      <c r="I11" s="1" t="n">
        <v>1</v>
      </c>
      <c r="J11" s="1" t="n">
        <v>77.824</v>
      </c>
      <c r="K11" s="1" t="n">
        <v>69.2</v>
      </c>
      <c r="L11" s="1" t="n">
        <v>3</v>
      </c>
      <c r="M11" s="1" t="n">
        <v>22</v>
      </c>
      <c r="N11" s="1" t="n">
        <f aca="false">419/1240</f>
        <v>0.3379032258</v>
      </c>
      <c r="O11" s="1" t="n">
        <f aca="false">0.058201058 *3</f>
        <v>0.174603174</v>
      </c>
      <c r="P11" s="1" t="n">
        <v>0.696</v>
      </c>
      <c r="S11" s="1" t="n">
        <f aca="false">9/(9+3)</f>
        <v>0.75</v>
      </c>
    </row>
    <row r="12" customFormat="false" ht="12.75" hidden="false" customHeight="false" outlineLevel="0" collapsed="false">
      <c r="A12" s="1" t="s">
        <v>22</v>
      </c>
      <c r="B12" s="1" t="n">
        <v>1</v>
      </c>
      <c r="D12" s="1" t="n">
        <f aca="false">23/(23+9)</f>
        <v>0.71875</v>
      </c>
      <c r="E12" s="1" t="n">
        <v>7</v>
      </c>
      <c r="F12" s="1" t="n">
        <v>1</v>
      </c>
      <c r="G12" s="1" t="n">
        <v>0</v>
      </c>
      <c r="H12" s="1" t="n">
        <v>1</v>
      </c>
      <c r="I12" s="1" t="n">
        <v>1</v>
      </c>
      <c r="J12" s="1" t="n">
        <v>75.656</v>
      </c>
      <c r="K12" s="1" t="n">
        <v>68.7</v>
      </c>
      <c r="L12" s="1" t="n">
        <v>2</v>
      </c>
      <c r="M12" s="1" t="n">
        <v>20.6</v>
      </c>
      <c r="N12" s="1" t="n">
        <f aca="false">348/1060</f>
        <v>0.3283018868</v>
      </c>
      <c r="O12" s="1" t="n">
        <f aca="false">0.095002065 *3</f>
        <v>0.285006195</v>
      </c>
      <c r="P12" s="1" t="n">
        <v>0.73</v>
      </c>
      <c r="S12" s="1" t="n">
        <f aca="false">6/(6+4)</f>
        <v>0.6</v>
      </c>
    </row>
    <row r="13" customFormat="false" ht="12.75" hidden="false" customHeight="false" outlineLevel="0" collapsed="false">
      <c r="A13" s="1" t="s">
        <v>25</v>
      </c>
      <c r="B13" s="1" t="n">
        <v>0</v>
      </c>
      <c r="D13" s="1" t="n">
        <f aca="false">21/(21+10)</f>
        <v>0.6774193548</v>
      </c>
      <c r="E13" s="1" t="n">
        <v>6</v>
      </c>
      <c r="F13" s="1" t="n">
        <v>1</v>
      </c>
      <c r="G13" s="1" t="n">
        <v>0</v>
      </c>
      <c r="H13" s="1" t="n">
        <v>0</v>
      </c>
      <c r="I13" s="1" t="n">
        <v>1</v>
      </c>
      <c r="J13" s="1" t="n">
        <v>70.71</v>
      </c>
      <c r="K13" s="1" t="n">
        <v>68</v>
      </c>
      <c r="L13" s="1" t="n">
        <v>1</v>
      </c>
      <c r="M13" s="1" t="n">
        <v>22.4</v>
      </c>
      <c r="N13" s="1" t="n">
        <f aca="false">353/1154</f>
        <v>0.3058925477</v>
      </c>
      <c r="O13" s="1" t="n">
        <f aca="false">0.113594891 *3</f>
        <v>0.340784673</v>
      </c>
      <c r="P13" s="1" t="n">
        <v>0.681</v>
      </c>
      <c r="S13" s="1" t="n">
        <f aca="false">10/(10+4)</f>
        <v>0.7142857143</v>
      </c>
    </row>
    <row r="14" customFormat="false" ht="12.75" hidden="false" customHeight="false" outlineLevel="0" collapsed="false">
      <c r="A14" s="1" t="s">
        <v>86</v>
      </c>
      <c r="B14" s="1" t="n">
        <v>2</v>
      </c>
      <c r="D14" s="1" t="n">
        <f aca="false">31/(31+4)</f>
        <v>0.8857142857</v>
      </c>
      <c r="E14" s="1" t="n">
        <v>8</v>
      </c>
      <c r="F14" s="1" t="n">
        <v>1</v>
      </c>
      <c r="G14" s="1" t="n">
        <v>1</v>
      </c>
      <c r="H14" s="1" t="n">
        <v>2</v>
      </c>
      <c r="I14" s="1" t="n">
        <v>1</v>
      </c>
      <c r="J14" s="1" t="n">
        <v>88.914</v>
      </c>
      <c r="K14" s="1" t="n">
        <v>69.2</v>
      </c>
      <c r="L14" s="1" t="n">
        <v>3</v>
      </c>
      <c r="M14" s="1" t="n">
        <v>18.5</v>
      </c>
      <c r="N14" s="1" t="n">
        <f aca="false">390/1194</f>
        <v>0.3266331658</v>
      </c>
      <c r="O14" s="1" t="n">
        <f aca="false">0.096722365 *3</f>
        <v>0.290167095</v>
      </c>
      <c r="P14" s="1" t="n">
        <v>0.69</v>
      </c>
      <c r="S14" s="1" t="n">
        <f aca="false">2/(2+3)</f>
        <v>0.4</v>
      </c>
    </row>
    <row r="15" customFormat="false" ht="12.75" hidden="false" customHeight="false" outlineLevel="0" collapsed="false">
      <c r="A15" s="1" t="s">
        <v>62</v>
      </c>
      <c r="B15" s="1" t="n">
        <v>0</v>
      </c>
      <c r="D15" s="1" t="n">
        <f aca="false">22/(22+9)</f>
        <v>0.7096774194</v>
      </c>
      <c r="E15" s="1" t="n">
        <v>5</v>
      </c>
      <c r="F15" s="1" t="n">
        <v>0</v>
      </c>
      <c r="G15" s="1" t="n">
        <v>1</v>
      </c>
      <c r="H15" s="1" t="n">
        <v>0</v>
      </c>
      <c r="I15" s="1" t="n">
        <v>1</v>
      </c>
      <c r="J15" s="1" t="n">
        <v>80.484</v>
      </c>
      <c r="K15" s="1" t="n">
        <v>66.6</v>
      </c>
      <c r="L15" s="1" t="n">
        <v>1</v>
      </c>
      <c r="M15" s="1" t="n">
        <v>20.5</v>
      </c>
      <c r="N15" s="1" t="n">
        <f aca="false">413/1164</f>
        <v>0.3548109966</v>
      </c>
      <c r="O15" s="1" t="n">
        <f aca="false">0.092985972 *3</f>
        <v>0.278957916</v>
      </c>
      <c r="P15" s="1" t="n">
        <v>0.697</v>
      </c>
      <c r="S15" s="1" t="n">
        <f aca="false">2/(2+7)</f>
        <v>0.2222222222</v>
      </c>
    </row>
    <row r="16" customFormat="false" ht="12.75" hidden="false" customHeight="false" outlineLevel="0" collapsed="false">
      <c r="A16" s="1" t="s">
        <v>587</v>
      </c>
      <c r="B16" s="1" t="n">
        <v>0</v>
      </c>
      <c r="D16" s="1" t="n">
        <f aca="false">19/(19+12)</f>
        <v>0.6129032258</v>
      </c>
      <c r="E16" s="1" t="n">
        <v>6</v>
      </c>
      <c r="F16" s="1" t="n">
        <v>1</v>
      </c>
      <c r="G16" s="1" t="n">
        <v>0</v>
      </c>
      <c r="H16" s="1" t="n">
        <v>0</v>
      </c>
      <c r="I16" s="1" t="n">
        <v>1</v>
      </c>
      <c r="J16" s="1" t="n">
        <v>74.29</v>
      </c>
      <c r="K16" s="1" t="n">
        <v>72.1</v>
      </c>
      <c r="L16" s="1" t="n">
        <v>0</v>
      </c>
      <c r="M16" s="1" t="n">
        <v>20.8</v>
      </c>
      <c r="N16" s="1" t="n">
        <f aca="false">492/1301</f>
        <v>0.378170638</v>
      </c>
      <c r="O16" s="1" t="n">
        <f aca="false">0.077290491 *3</f>
        <v>0.231871473</v>
      </c>
      <c r="P16" s="1" t="n">
        <v>0.666</v>
      </c>
      <c r="S16" s="1" t="n">
        <f aca="false">8/(8+5)</f>
        <v>0.6153846154</v>
      </c>
    </row>
    <row r="17" customFormat="false" ht="12.75" hidden="false" customHeight="false" outlineLevel="0" collapsed="false">
      <c r="A17" s="1" t="s">
        <v>247</v>
      </c>
      <c r="B17" s="1" t="n">
        <v>1</v>
      </c>
      <c r="D17" s="1" t="n">
        <f aca="false">22/(22+10)</f>
        <v>0.6875</v>
      </c>
      <c r="E17" s="1" t="n">
        <v>5</v>
      </c>
      <c r="F17" s="1" t="n">
        <v>0</v>
      </c>
      <c r="G17" s="1" t="n">
        <v>1</v>
      </c>
      <c r="H17" s="1" t="n">
        <v>1</v>
      </c>
      <c r="I17" s="1" t="n">
        <v>1</v>
      </c>
      <c r="J17" s="1" t="n">
        <v>76.375</v>
      </c>
      <c r="K17" s="1" t="n">
        <v>71</v>
      </c>
      <c r="L17" s="1" t="n">
        <v>0</v>
      </c>
      <c r="M17" s="1" t="n">
        <v>20</v>
      </c>
      <c r="N17" s="1" t="n">
        <f aca="false">434/1145</f>
        <v>0.3790393013</v>
      </c>
      <c r="O17" s="1" t="n">
        <f aca="false">0.077332242 *3</f>
        <v>0.231996726</v>
      </c>
      <c r="P17" s="1" t="n">
        <v>0.737</v>
      </c>
      <c r="S17" s="1" t="n">
        <f aca="false">5/(5+6)</f>
        <v>0.4545454545</v>
      </c>
    </row>
    <row r="18" customFormat="false" ht="12.75" hidden="false" customHeight="false" outlineLevel="0" collapsed="false">
      <c r="A18" s="1" t="s">
        <v>43</v>
      </c>
      <c r="B18" s="1" t="n">
        <v>0</v>
      </c>
      <c r="D18" s="1" t="n">
        <f aca="false">29/(29+4)</f>
        <v>0.8787878788</v>
      </c>
      <c r="E18" s="1" t="n">
        <v>9</v>
      </c>
      <c r="F18" s="1" t="n">
        <v>1</v>
      </c>
      <c r="G18" s="1" t="n">
        <v>0</v>
      </c>
      <c r="H18" s="1" t="n">
        <v>0</v>
      </c>
      <c r="I18" s="1" t="n">
        <v>1</v>
      </c>
      <c r="J18" s="1" t="n">
        <v>81.121</v>
      </c>
      <c r="K18" s="1" t="n">
        <v>67.2</v>
      </c>
      <c r="L18" s="1" t="n">
        <v>2</v>
      </c>
      <c r="M18" s="1" t="n">
        <v>19.3</v>
      </c>
      <c r="N18" s="1" t="n">
        <f aca="false">403/1328</f>
        <v>0.3034638554</v>
      </c>
      <c r="O18" s="1" t="n">
        <f aca="false">0.088531939 *3</f>
        <v>0.265595817</v>
      </c>
      <c r="P18" s="1" t="n">
        <v>0.732</v>
      </c>
      <c r="S18" s="1" t="n">
        <f aca="false">5/(5+0)</f>
        <v>1</v>
      </c>
    </row>
    <row r="19" customFormat="false" ht="12.75" hidden="false" customHeight="false" outlineLevel="0" collapsed="false">
      <c r="A19" s="1" t="s">
        <v>187</v>
      </c>
      <c r="B19" s="1" t="n">
        <v>0</v>
      </c>
      <c r="D19" s="1" t="n">
        <f aca="false">26/(26+7)</f>
        <v>0.7878787879</v>
      </c>
      <c r="E19" s="1" t="n">
        <v>8</v>
      </c>
      <c r="F19" s="1" t="n">
        <v>1</v>
      </c>
      <c r="G19" s="1" t="n">
        <v>0</v>
      </c>
      <c r="H19" s="1" t="n">
        <v>0</v>
      </c>
      <c r="I19" s="1" t="n">
        <v>1</v>
      </c>
      <c r="J19" s="1" t="n">
        <v>79.485</v>
      </c>
      <c r="K19" s="1" t="n">
        <v>70.9</v>
      </c>
      <c r="L19" s="1" t="n">
        <v>0</v>
      </c>
      <c r="M19" s="1" t="n">
        <v>20.8</v>
      </c>
      <c r="N19" s="1" t="n">
        <f aca="false">443/1206</f>
        <v>0.3673300166</v>
      </c>
      <c r="O19" s="1" t="n">
        <f aca="false">0.083110942 *3</f>
        <v>0.249332826</v>
      </c>
      <c r="P19" s="1" t="n">
        <v>0.67</v>
      </c>
      <c r="S19" s="1" t="n">
        <f aca="false">5/(5+3)</f>
        <v>0.625</v>
      </c>
    </row>
    <row r="20" customFormat="false" ht="12.75" hidden="false" customHeight="false" outlineLevel="0" collapsed="false">
      <c r="A20" s="1" t="s">
        <v>588</v>
      </c>
      <c r="B20" s="1" t="n">
        <v>0</v>
      </c>
      <c r="D20" s="1" t="n">
        <f aca="false">27/(27+6)</f>
        <v>0.8181818182</v>
      </c>
      <c r="E20" s="1" t="n">
        <v>7</v>
      </c>
      <c r="F20" s="1" t="n">
        <v>1</v>
      </c>
      <c r="G20" s="1" t="n">
        <v>0</v>
      </c>
      <c r="H20" s="1" t="n">
        <v>0</v>
      </c>
      <c r="I20" s="1" t="n">
        <v>1</v>
      </c>
      <c r="J20" s="1" t="n">
        <v>71.727</v>
      </c>
      <c r="K20" s="1" t="n">
        <v>63.1</v>
      </c>
      <c r="L20" s="1" t="n">
        <v>0</v>
      </c>
      <c r="M20" s="1" t="n">
        <v>18.3</v>
      </c>
      <c r="N20" s="1" t="n">
        <f aca="false">329/1068</f>
        <v>0.3080524345</v>
      </c>
      <c r="O20" s="1" t="n">
        <f aca="false">0.101816646 *3</f>
        <v>0.305449938</v>
      </c>
      <c r="P20" s="1" t="n">
        <v>0.684</v>
      </c>
      <c r="S20" s="1" t="n">
        <f aca="false">6/(6+4)</f>
        <v>0.6</v>
      </c>
    </row>
    <row r="21" customFormat="false" ht="12.75" hidden="false" customHeight="false" outlineLevel="0" collapsed="false">
      <c r="A21" s="1" t="s">
        <v>189</v>
      </c>
      <c r="B21" s="1" t="n">
        <v>0</v>
      </c>
      <c r="D21" s="1" t="n">
        <f aca="false">18/(18+15)</f>
        <v>0.5454545455</v>
      </c>
      <c r="E21" s="1" t="n">
        <v>7</v>
      </c>
      <c r="F21" s="1" t="n">
        <v>1</v>
      </c>
      <c r="G21" s="1" t="n">
        <v>0</v>
      </c>
      <c r="H21" s="1" t="n">
        <v>0</v>
      </c>
      <c r="I21" s="1" t="n">
        <v>1</v>
      </c>
      <c r="J21" s="1" t="n">
        <v>63.121</v>
      </c>
      <c r="K21" s="1" t="n">
        <v>59.6</v>
      </c>
      <c r="L21" s="1" t="n">
        <v>0</v>
      </c>
      <c r="M21" s="1" t="n">
        <v>22</v>
      </c>
      <c r="N21" s="1" t="n">
        <f aca="false">405/1146</f>
        <v>0.3534031414</v>
      </c>
      <c r="O21" s="1" t="n">
        <f aca="false">0.071051368 *3</f>
        <v>0.213154104</v>
      </c>
      <c r="P21" s="1" t="n">
        <v>0.692</v>
      </c>
      <c r="S21" s="1" t="n">
        <f aca="false">1/(1+4)</f>
        <v>0.2</v>
      </c>
    </row>
    <row r="22" customFormat="false" ht="12.75" hidden="false" customHeight="false" outlineLevel="0" collapsed="false">
      <c r="A22" s="1" t="s">
        <v>363</v>
      </c>
      <c r="B22" s="1" t="n">
        <v>2</v>
      </c>
      <c r="D22" s="1" t="n">
        <f aca="false">26/(26+9)</f>
        <v>0.7428571429</v>
      </c>
      <c r="E22" s="1" t="n">
        <v>8</v>
      </c>
      <c r="F22" s="1" t="n">
        <v>0</v>
      </c>
      <c r="G22" s="1" t="n">
        <v>1</v>
      </c>
      <c r="H22" s="1" t="n">
        <v>2</v>
      </c>
      <c r="I22" s="1" t="n">
        <v>1</v>
      </c>
      <c r="J22" s="1" t="n">
        <v>77.371</v>
      </c>
      <c r="K22" s="1" t="n">
        <v>67.7</v>
      </c>
      <c r="L22" s="1" t="n">
        <v>2</v>
      </c>
      <c r="M22" s="1" t="n">
        <v>20.8</v>
      </c>
      <c r="N22" s="1" t="n">
        <f aca="false">362/1162</f>
        <v>0.3115318417</v>
      </c>
      <c r="O22" s="1" t="n">
        <v>0.28138848</v>
      </c>
      <c r="P22" s="1" t="n">
        <v>0.74</v>
      </c>
      <c r="S22" s="1" t="n">
        <f aca="false">5/(5+2)</f>
        <v>0.7142857143</v>
      </c>
    </row>
    <row r="23" customFormat="false" ht="12.75" hidden="false" customHeight="false" outlineLevel="0" collapsed="false">
      <c r="A23" s="1" t="s">
        <v>190</v>
      </c>
      <c r="B23" s="1" t="n">
        <v>5</v>
      </c>
      <c r="D23" s="1" t="n">
        <f aca="false">24/(24+11)</f>
        <v>0.6857142857</v>
      </c>
      <c r="E23" s="1" t="n">
        <v>7</v>
      </c>
      <c r="F23" s="1" t="n">
        <v>0</v>
      </c>
      <c r="G23" s="1" t="n">
        <v>1</v>
      </c>
      <c r="H23" s="1" t="n">
        <v>5</v>
      </c>
      <c r="I23" s="1" t="n">
        <v>1</v>
      </c>
      <c r="J23" s="1" t="n">
        <v>70.459</v>
      </c>
      <c r="K23" s="1" t="n">
        <v>62.5</v>
      </c>
      <c r="L23" s="1" t="n">
        <v>3</v>
      </c>
      <c r="M23" s="1" t="n">
        <v>20.7</v>
      </c>
      <c r="N23" s="1" t="n">
        <f aca="false">351/1112</f>
        <v>0.315647482</v>
      </c>
      <c r="O23" s="1" t="n">
        <v>0.310701957</v>
      </c>
      <c r="P23" s="1" t="n">
        <v>0.696</v>
      </c>
      <c r="S23" s="1" t="n">
        <f aca="false">3/(3+6)</f>
        <v>0.3333333333</v>
      </c>
    </row>
    <row r="24" customFormat="false" ht="12.75" hidden="false" customHeight="false" outlineLevel="0" collapsed="false">
      <c r="A24" s="1" t="s">
        <v>71</v>
      </c>
      <c r="B24" s="1" t="n">
        <v>4</v>
      </c>
      <c r="D24" s="1" t="n">
        <f aca="false">33/(33+3)</f>
        <v>0.9166666667</v>
      </c>
      <c r="E24" s="1" t="n">
        <v>8</v>
      </c>
      <c r="F24" s="1" t="n">
        <v>0</v>
      </c>
      <c r="G24" s="1" t="n">
        <v>1</v>
      </c>
      <c r="H24" s="1" t="n">
        <v>4</v>
      </c>
      <c r="I24" s="1" t="n">
        <v>1</v>
      </c>
      <c r="J24" s="1" t="n">
        <v>90.946</v>
      </c>
      <c r="K24" s="1" t="n">
        <v>75</v>
      </c>
      <c r="L24" s="1" t="n">
        <v>3</v>
      </c>
      <c r="M24" s="1" t="n">
        <v>20.5</v>
      </c>
      <c r="N24" s="1" t="n">
        <f aca="false">480/1405</f>
        <v>0.3416370107</v>
      </c>
      <c r="O24" s="1" t="n">
        <v>0.199702824</v>
      </c>
      <c r="P24" s="1" t="n">
        <v>0.719</v>
      </c>
      <c r="S24" s="1" t="n">
        <f aca="false">3/(3+1)</f>
        <v>0.75</v>
      </c>
    </row>
    <row r="25" customFormat="false" ht="12.75" hidden="false" customHeight="false" outlineLevel="0" collapsed="false">
      <c r="A25" s="1" t="s">
        <v>550</v>
      </c>
      <c r="B25" s="1" t="n">
        <v>3</v>
      </c>
      <c r="D25" s="1" t="n">
        <f aca="false">30/(30+6)</f>
        <v>0.8333333333</v>
      </c>
      <c r="E25" s="1" t="n">
        <v>9</v>
      </c>
      <c r="F25" s="1" t="n">
        <v>1</v>
      </c>
      <c r="G25" s="1" t="n">
        <v>0</v>
      </c>
      <c r="H25" s="1" t="n">
        <v>3</v>
      </c>
      <c r="I25" s="1" t="n">
        <v>1</v>
      </c>
      <c r="J25" s="1" t="n">
        <v>75.889</v>
      </c>
      <c r="K25" s="1" t="n">
        <v>63.9</v>
      </c>
      <c r="L25" s="1" t="n">
        <v>0</v>
      </c>
      <c r="M25" s="1" t="n">
        <v>16.6</v>
      </c>
      <c r="N25" s="1" t="n">
        <f aca="false">428/1204</f>
        <v>0.3554817276</v>
      </c>
      <c r="O25" s="1" t="n">
        <v>0.245973645</v>
      </c>
      <c r="P25" s="1" t="n">
        <v>0.728</v>
      </c>
      <c r="S25" s="1" t="n">
        <f aca="false">7/(7+3)</f>
        <v>0.7</v>
      </c>
    </row>
    <row r="26" customFormat="false" ht="12.75" hidden="false" customHeight="false" outlineLevel="0" collapsed="false">
      <c r="A26" s="1" t="s">
        <v>24</v>
      </c>
      <c r="B26" s="1" t="n">
        <v>2</v>
      </c>
      <c r="D26" s="1" t="n">
        <f aca="false">22/(22+10)</f>
        <v>0.6875</v>
      </c>
      <c r="E26" s="1" t="n">
        <v>6</v>
      </c>
      <c r="F26" s="1" t="n">
        <v>0</v>
      </c>
      <c r="G26" s="1" t="n">
        <v>1</v>
      </c>
      <c r="H26" s="1" t="n">
        <v>2</v>
      </c>
      <c r="I26" s="1" t="n">
        <v>1</v>
      </c>
      <c r="J26" s="1" t="n">
        <v>76.875</v>
      </c>
      <c r="K26" s="1" t="n">
        <v>68.4</v>
      </c>
      <c r="L26" s="1" t="n">
        <v>2</v>
      </c>
      <c r="M26" s="1" t="n">
        <v>20</v>
      </c>
      <c r="N26" s="1" t="n">
        <f aca="false">451/1170</f>
        <v>0.3854700855</v>
      </c>
      <c r="O26" s="1" t="n">
        <v>0.26707317</v>
      </c>
      <c r="P26" s="1" t="n">
        <v>0.676</v>
      </c>
      <c r="S26" s="1" t="n">
        <f aca="false">5/(5+5)</f>
        <v>0.5</v>
      </c>
    </row>
    <row r="27" customFormat="false" ht="12.75" hidden="false" customHeight="false" outlineLevel="0" collapsed="false">
      <c r="A27" s="1" t="s">
        <v>110</v>
      </c>
      <c r="B27" s="1" t="n">
        <v>0</v>
      </c>
      <c r="D27" s="1" t="n">
        <f aca="false">26/(26+7)</f>
        <v>0.7878787879</v>
      </c>
      <c r="E27" s="1" t="n">
        <v>6</v>
      </c>
      <c r="F27" s="1" t="n">
        <v>0</v>
      </c>
      <c r="G27" s="1" t="n">
        <v>1</v>
      </c>
      <c r="H27" s="1" t="n">
        <v>0</v>
      </c>
      <c r="I27" s="1" t="n">
        <v>1</v>
      </c>
      <c r="J27" s="1" t="n">
        <v>73.121</v>
      </c>
      <c r="K27" s="1" t="n">
        <v>60.7</v>
      </c>
      <c r="L27" s="1" t="n">
        <v>0</v>
      </c>
      <c r="M27" s="1" t="n">
        <v>20.5</v>
      </c>
      <c r="N27" s="1" t="n">
        <f aca="false">420/1170</f>
        <v>0.358974359</v>
      </c>
      <c r="O27" s="1" t="n">
        <v>0.215084955</v>
      </c>
      <c r="P27" s="1" t="n">
        <v>0.692</v>
      </c>
      <c r="S27" s="1" t="n">
        <f aca="false">3/(3+4)</f>
        <v>0.4285714286</v>
      </c>
    </row>
    <row r="28" customFormat="false" ht="12.75" hidden="false" customHeight="false" outlineLevel="0" collapsed="false">
      <c r="A28" s="1" t="s">
        <v>111</v>
      </c>
      <c r="B28" s="1" t="n">
        <v>6</v>
      </c>
      <c r="D28" s="1" t="n">
        <f aca="false">30/(30+4)</f>
        <v>0.8823529412</v>
      </c>
      <c r="E28" s="1" t="n">
        <v>9</v>
      </c>
      <c r="F28" s="1" t="n">
        <v>0</v>
      </c>
      <c r="G28" s="1" t="n">
        <v>1</v>
      </c>
      <c r="H28" s="1" t="n">
        <v>6</v>
      </c>
      <c r="I28" s="1" t="n">
        <v>1</v>
      </c>
      <c r="J28" s="1" t="n">
        <v>85</v>
      </c>
      <c r="K28" s="1" t="n">
        <v>70.9</v>
      </c>
      <c r="L28" s="1" t="n">
        <v>1</v>
      </c>
      <c r="M28" s="1" t="n">
        <v>18.3</v>
      </c>
      <c r="N28" s="1" t="n">
        <f aca="false">4061248</f>
        <v>4061248</v>
      </c>
      <c r="O28" s="1" t="n">
        <v>0.212745099</v>
      </c>
      <c r="P28" s="1" t="n">
        <v>0.726</v>
      </c>
      <c r="S28" s="1" t="n">
        <f aca="false">3/(3+2)</f>
        <v>0.6</v>
      </c>
    </row>
    <row r="29" customFormat="false" ht="12.75" hidden="false" customHeight="false" outlineLevel="0" collapsed="false">
      <c r="A29" s="1" t="s">
        <v>589</v>
      </c>
      <c r="B29" s="1" t="n">
        <v>0</v>
      </c>
      <c r="D29" s="1" t="n">
        <f aca="false">21/(21+9)</f>
        <v>0.7</v>
      </c>
      <c r="E29" s="1" t="n">
        <v>9</v>
      </c>
      <c r="F29" s="1" t="n">
        <v>1</v>
      </c>
      <c r="G29" s="1" t="n">
        <v>0</v>
      </c>
      <c r="H29" s="1" t="n">
        <v>0</v>
      </c>
      <c r="I29" s="1" t="n">
        <v>1</v>
      </c>
      <c r="J29" s="1" t="n">
        <v>70.067</v>
      </c>
      <c r="K29" s="1" t="n">
        <v>64.2</v>
      </c>
      <c r="L29" s="1" t="n">
        <v>0</v>
      </c>
      <c r="M29" s="1" t="n">
        <v>23</v>
      </c>
      <c r="N29" s="1" t="n">
        <f aca="false">391/1099</f>
        <v>0.35577798</v>
      </c>
      <c r="O29" s="1" t="n">
        <v>0.244053282</v>
      </c>
      <c r="P29" s="1" t="n">
        <v>0.653</v>
      </c>
      <c r="S29" s="1" t="n">
        <f aca="false">4/(4+2)</f>
        <v>0.6666666667</v>
      </c>
    </row>
    <row r="30" customFormat="false" ht="12.75" hidden="false" customHeight="false" outlineLevel="0" collapsed="false">
      <c r="A30" s="1" t="s">
        <v>193</v>
      </c>
      <c r="B30" s="1" t="n">
        <v>0</v>
      </c>
      <c r="D30" s="1" t="n">
        <f aca="false">24/(24+8)</f>
        <v>0.75</v>
      </c>
      <c r="E30" s="1" t="n">
        <v>5</v>
      </c>
      <c r="F30" s="1" t="n">
        <v>0</v>
      </c>
      <c r="G30" s="1" t="n">
        <v>1</v>
      </c>
      <c r="H30" s="1" t="n">
        <v>0</v>
      </c>
      <c r="I30" s="1" t="n">
        <v>1</v>
      </c>
      <c r="J30" s="1" t="n">
        <v>74.844</v>
      </c>
      <c r="K30" s="1" t="n">
        <v>67.2</v>
      </c>
      <c r="L30" s="1" t="n">
        <v>3</v>
      </c>
      <c r="M30" s="1" t="n">
        <v>20</v>
      </c>
      <c r="N30" s="1" t="n">
        <f aca="false">371/1135</f>
        <v>0.3268722467</v>
      </c>
      <c r="O30" s="1" t="n">
        <v>0.295615866</v>
      </c>
      <c r="P30" s="1" t="n">
        <v>0.771</v>
      </c>
      <c r="S30" s="1" t="n">
        <f aca="false">4/(4+4)</f>
        <v>0.5</v>
      </c>
    </row>
    <row r="31" customFormat="false" ht="12.75" hidden="false" customHeight="false" outlineLevel="0" collapsed="false">
      <c r="A31" s="1" t="s">
        <v>194</v>
      </c>
      <c r="B31" s="1" t="n">
        <v>0</v>
      </c>
      <c r="D31" s="1" t="n">
        <f aca="false">19/(19+12)</f>
        <v>0.6129032258</v>
      </c>
      <c r="E31" s="1" t="n">
        <v>6</v>
      </c>
      <c r="F31" s="1" t="n">
        <v>0</v>
      </c>
      <c r="G31" s="1" t="n">
        <v>1</v>
      </c>
      <c r="H31" s="1" t="n">
        <v>0</v>
      </c>
      <c r="I31" s="1" t="n">
        <v>1</v>
      </c>
      <c r="J31" s="1" t="n">
        <v>69.355</v>
      </c>
      <c r="K31" s="1" t="n">
        <v>63.7</v>
      </c>
      <c r="L31" s="1" t="n">
        <v>3</v>
      </c>
      <c r="M31" s="1" t="n">
        <v>21.2</v>
      </c>
      <c r="N31" s="1" t="n">
        <f aca="false">365/1130</f>
        <v>0.3230088496</v>
      </c>
      <c r="O31" s="1" t="n">
        <v>0.25116279</v>
      </c>
      <c r="P31" s="1" t="n">
        <v>0.771</v>
      </c>
      <c r="S31" s="1" t="n">
        <f aca="false">5/(5+6)</f>
        <v>0.4545454545</v>
      </c>
    </row>
    <row r="32" customFormat="false" ht="12.75" hidden="false" customHeight="false" outlineLevel="0" collapsed="false">
      <c r="A32" s="1" t="s">
        <v>425</v>
      </c>
      <c r="B32" s="1" t="n">
        <v>1</v>
      </c>
      <c r="D32" s="1" t="n">
        <f aca="false">27/(27+8)</f>
        <v>0.7714285714</v>
      </c>
      <c r="E32" s="1" t="n">
        <v>9</v>
      </c>
      <c r="F32" s="1" t="n">
        <v>1</v>
      </c>
      <c r="G32" s="1" t="n">
        <v>1</v>
      </c>
      <c r="H32" s="1" t="n">
        <v>1</v>
      </c>
      <c r="I32" s="1" t="n">
        <v>1</v>
      </c>
      <c r="J32" s="1" t="n">
        <v>73.771</v>
      </c>
      <c r="K32" s="1" t="n">
        <v>66.7</v>
      </c>
      <c r="L32" s="1" t="n">
        <v>0</v>
      </c>
      <c r="M32" s="1" t="n">
        <v>23.5</v>
      </c>
      <c r="N32" s="1" t="n">
        <f aca="false">437/1297</f>
        <v>0.3369313801</v>
      </c>
      <c r="O32" s="1" t="n">
        <v>0.22308288</v>
      </c>
      <c r="P32" s="1" t="n">
        <v>0.653</v>
      </c>
      <c r="S32" s="1" t="n">
        <f aca="false">6/(6+2)</f>
        <v>0.75</v>
      </c>
    </row>
    <row r="33" customFormat="false" ht="12.75" hidden="false" customHeight="false" outlineLevel="0" collapsed="false">
      <c r="A33" s="1" t="s">
        <v>39</v>
      </c>
      <c r="B33" s="1" t="n">
        <v>3</v>
      </c>
      <c r="D33" s="1" t="n">
        <f aca="false">24/(24+12)</f>
        <v>0.6666666667</v>
      </c>
      <c r="E33" s="1" t="n">
        <v>6</v>
      </c>
      <c r="F33" s="1" t="n">
        <v>0</v>
      </c>
      <c r="G33" s="1" t="n">
        <v>1</v>
      </c>
      <c r="H33" s="1" t="n">
        <v>3</v>
      </c>
      <c r="I33" s="1" t="n">
        <v>1</v>
      </c>
      <c r="J33" s="1" t="n">
        <v>79.917</v>
      </c>
      <c r="K33" s="1" t="n">
        <v>72.5</v>
      </c>
      <c r="L33" s="1" t="n">
        <v>2</v>
      </c>
      <c r="M33" s="1" t="n">
        <v>19.9</v>
      </c>
      <c r="N33" s="1" t="n">
        <f aca="false">474/1233</f>
        <v>0.3844282238</v>
      </c>
      <c r="O33" s="1" t="n">
        <v>0.339937434</v>
      </c>
      <c r="P33" s="1" t="n">
        <v>0.69</v>
      </c>
      <c r="S33" s="1" t="n">
        <f aca="false">5/(5+6)</f>
        <v>0.4545454545</v>
      </c>
    </row>
    <row r="34" customFormat="false" ht="12.75" hidden="false" customHeight="false" outlineLevel="0" collapsed="false">
      <c r="A34" s="1" t="s">
        <v>48</v>
      </c>
      <c r="B34" s="1" t="n">
        <v>0</v>
      </c>
      <c r="D34" s="1" t="n">
        <f aca="false">16/(16+15)</f>
        <v>0.5161290323</v>
      </c>
      <c r="E34" s="1" t="n">
        <v>6</v>
      </c>
      <c r="F34" s="1" t="n">
        <v>1</v>
      </c>
      <c r="G34" s="1" t="n">
        <v>0</v>
      </c>
      <c r="H34" s="1" t="n">
        <v>0</v>
      </c>
      <c r="I34" s="1" t="n">
        <v>1</v>
      </c>
      <c r="J34" s="1" t="n">
        <v>71.548</v>
      </c>
      <c r="K34" s="1" t="n">
        <v>73.7</v>
      </c>
      <c r="L34" s="1" t="n">
        <v>0</v>
      </c>
      <c r="M34" s="1" t="n">
        <v>21.5</v>
      </c>
      <c r="N34" s="1" t="n">
        <f aca="false">295/1016</f>
        <v>0.2903543307</v>
      </c>
      <c r="O34" s="1" t="n">
        <v>0.288097386</v>
      </c>
      <c r="P34" s="1" t="n">
        <v>0.673</v>
      </c>
      <c r="S34" s="1" t="n">
        <f aca="false">4/(4+2)</f>
        <v>0.6666666667</v>
      </c>
    </row>
    <row r="35" customFormat="false" ht="12.75" hidden="false" customHeight="false" outlineLevel="0" collapsed="false">
      <c r="A35" s="1" t="s">
        <v>399</v>
      </c>
      <c r="B35" s="1" t="n">
        <v>0</v>
      </c>
      <c r="D35" s="1" t="n">
        <f aca="false">19/(19+13)</f>
        <v>0.59375</v>
      </c>
      <c r="E35" s="1" t="n">
        <v>8</v>
      </c>
      <c r="F35" s="1" t="n">
        <v>1</v>
      </c>
      <c r="G35" s="1" t="n">
        <v>0</v>
      </c>
      <c r="H35" s="1" t="n">
        <v>0</v>
      </c>
      <c r="I35" s="1" t="n">
        <v>1</v>
      </c>
      <c r="J35" s="1" t="n">
        <v>78.563</v>
      </c>
      <c r="K35" s="1" t="n">
        <v>74.8</v>
      </c>
      <c r="L35" s="1" t="n">
        <v>1</v>
      </c>
      <c r="M35" s="1" t="n">
        <v>19.6</v>
      </c>
      <c r="N35" s="1" t="n">
        <f aca="false">487/1239</f>
        <v>0.3930589185</v>
      </c>
      <c r="O35" s="1" t="n">
        <v>0.25059666</v>
      </c>
      <c r="P35" s="1" t="n">
        <v>0.723</v>
      </c>
      <c r="S35" s="1" t="n">
        <f aca="false">6/(6+2)</f>
        <v>0.75</v>
      </c>
    </row>
    <row r="36" customFormat="false" ht="12.75" hidden="false" customHeight="false" outlineLevel="0" collapsed="false">
      <c r="A36" s="1" t="s">
        <v>332</v>
      </c>
      <c r="B36" s="1" t="n">
        <v>1</v>
      </c>
      <c r="D36" s="1" t="n">
        <f aca="false">23/(23+11)</f>
        <v>0.6764705882</v>
      </c>
      <c r="E36" s="1" t="n">
        <v>5</v>
      </c>
      <c r="F36" s="1" t="n">
        <v>0</v>
      </c>
      <c r="G36" s="1" t="n">
        <v>1</v>
      </c>
      <c r="H36" s="1" t="n">
        <v>1</v>
      </c>
      <c r="I36" s="1" t="n">
        <v>1</v>
      </c>
      <c r="J36" s="1" t="n">
        <v>75.441</v>
      </c>
      <c r="K36" s="1" t="n">
        <v>67.8</v>
      </c>
      <c r="L36" s="1" t="n">
        <v>2</v>
      </c>
      <c r="M36" s="1" t="n">
        <v>22.7</v>
      </c>
      <c r="N36" s="1" t="n">
        <f aca="false">333/1064</f>
        <v>0.3129699248</v>
      </c>
      <c r="O36" s="1" t="n">
        <v>0.314540058</v>
      </c>
      <c r="P36" s="1" t="n">
        <v>0.755</v>
      </c>
      <c r="S36" s="1" t="n">
        <f aca="false">3/(3+2)</f>
        <v>0.6</v>
      </c>
    </row>
    <row r="37" customFormat="false" ht="12.75" hidden="false" customHeight="false" outlineLevel="0" collapsed="false">
      <c r="A37" s="1" t="s">
        <v>121</v>
      </c>
      <c r="B37" s="1" t="n">
        <v>1</v>
      </c>
      <c r="D37" s="1" t="n">
        <f aca="false">22/(22+11)</f>
        <v>0.6666666667</v>
      </c>
      <c r="E37" s="1" t="n">
        <v>5</v>
      </c>
      <c r="F37" s="1" t="n">
        <v>0</v>
      </c>
      <c r="G37" s="1" t="n">
        <v>1</v>
      </c>
      <c r="H37" s="1" t="n">
        <v>1</v>
      </c>
      <c r="I37" s="1" t="n">
        <v>1</v>
      </c>
      <c r="J37" s="1" t="n">
        <v>78.818</v>
      </c>
      <c r="K37" s="1" t="n">
        <v>68.7</v>
      </c>
      <c r="L37" s="1" t="n">
        <v>1</v>
      </c>
      <c r="M37" s="1" t="n">
        <v>18.3</v>
      </c>
      <c r="N37" s="1" t="n">
        <f aca="false">403/1262</f>
        <v>0.3193343899</v>
      </c>
      <c r="O37" s="1" t="n">
        <v>0.281430219</v>
      </c>
      <c r="P37" s="1" t="n">
        <v>0.709</v>
      </c>
      <c r="S37" s="1" t="n">
        <f aca="false">5/(5+8)</f>
        <v>0.3846153846</v>
      </c>
    </row>
    <row r="38" customFormat="false" ht="12.75" hidden="false" customHeight="false" outlineLevel="0" collapsed="false">
      <c r="A38" s="1" t="s">
        <v>41</v>
      </c>
      <c r="B38" s="1" t="n">
        <v>1</v>
      </c>
      <c r="D38" s="1" t="n">
        <f aca="false">24/(24+8)</f>
        <v>0.75</v>
      </c>
      <c r="E38" s="1" t="n">
        <v>7</v>
      </c>
      <c r="F38" s="1" t="n">
        <v>1</v>
      </c>
      <c r="G38" s="1" t="n">
        <v>1</v>
      </c>
      <c r="H38" s="1" t="n">
        <v>1</v>
      </c>
      <c r="I38" s="1" t="n">
        <v>1</v>
      </c>
      <c r="J38" s="1" t="n">
        <v>73.813</v>
      </c>
      <c r="K38" s="1" t="n">
        <v>64.9</v>
      </c>
      <c r="L38" s="1" t="n">
        <v>2</v>
      </c>
      <c r="M38" s="1" t="n">
        <v>19.7</v>
      </c>
      <c r="N38" s="1" t="n">
        <f aca="false">328/990</f>
        <v>0.3313131313</v>
      </c>
      <c r="O38" s="1" t="n">
        <v>0.222269262</v>
      </c>
      <c r="P38" s="1" t="n">
        <v>0.675</v>
      </c>
      <c r="S38" s="1" t="n">
        <f aca="false">2/(2+4)</f>
        <v>0.3333333333</v>
      </c>
    </row>
    <row r="39" customFormat="false" ht="12.75" hidden="false" customHeight="false" outlineLevel="0" collapsed="false">
      <c r="A39" s="1" t="s">
        <v>85</v>
      </c>
      <c r="B39" s="1" t="n">
        <v>4</v>
      </c>
      <c r="D39" s="1" t="n">
        <f aca="false">31/(31+4)</f>
        <v>0.8857142857</v>
      </c>
      <c r="E39" s="1" t="n">
        <v>9</v>
      </c>
      <c r="F39" s="1" t="n">
        <v>1</v>
      </c>
      <c r="G39" s="1" t="n">
        <v>1</v>
      </c>
      <c r="H39" s="1" t="n">
        <v>4</v>
      </c>
      <c r="I39" s="1" t="n">
        <v>1</v>
      </c>
      <c r="J39" s="1" t="n">
        <v>77.972</v>
      </c>
      <c r="K39" s="1" t="n">
        <v>64.6</v>
      </c>
      <c r="L39" s="1" t="n">
        <v>3</v>
      </c>
      <c r="M39" s="1" t="n">
        <v>17</v>
      </c>
      <c r="N39" s="1" t="n">
        <f aca="false">471/1241</f>
        <v>0.379532635</v>
      </c>
      <c r="O39" s="1" t="n">
        <v>0.252226575</v>
      </c>
      <c r="P39" s="1" t="n">
        <v>0.767</v>
      </c>
      <c r="S39" s="1" t="n">
        <f aca="false">5/(5+0)</f>
        <v>1</v>
      </c>
    </row>
    <row r="40" customFormat="false" ht="12.75" hidden="false" customHeight="false" outlineLevel="0" collapsed="false">
      <c r="A40" s="1" t="s">
        <v>258</v>
      </c>
      <c r="B40" s="1" t="n">
        <v>0</v>
      </c>
      <c r="D40" s="1" t="n">
        <f aca="false">23/(23+9)</f>
        <v>0.71875</v>
      </c>
      <c r="E40" s="1" t="n">
        <v>6</v>
      </c>
      <c r="F40" s="1" t="n">
        <v>0</v>
      </c>
      <c r="G40" s="1" t="n">
        <v>1</v>
      </c>
      <c r="H40" s="1" t="n">
        <v>0</v>
      </c>
      <c r="I40" s="1" t="n">
        <v>1</v>
      </c>
      <c r="J40" s="1" t="n">
        <v>71.656</v>
      </c>
      <c r="K40" s="1" t="n">
        <v>64.1</v>
      </c>
      <c r="L40" s="1" t="n">
        <v>3</v>
      </c>
      <c r="M40" s="1" t="n">
        <v>22</v>
      </c>
      <c r="N40" s="1" t="n">
        <f aca="false">468/1241</f>
        <v>0.3771152297</v>
      </c>
      <c r="O40" s="1" t="n">
        <v>0.218491059</v>
      </c>
      <c r="P40" s="1" t="n">
        <v>0.644</v>
      </c>
      <c r="S40" s="1" t="n">
        <f aca="false">5/(5+2)</f>
        <v>0.7142857143</v>
      </c>
    </row>
    <row r="41" customFormat="false" ht="12.75" hidden="false" customHeight="false" outlineLevel="0" collapsed="false">
      <c r="A41" s="1" t="s">
        <v>374</v>
      </c>
      <c r="B41" s="1" t="n">
        <v>0</v>
      </c>
      <c r="D41" s="1" t="n">
        <f aca="false">20/(20+11)</f>
        <v>0.6451612903</v>
      </c>
      <c r="E41" s="1" t="n">
        <v>3</v>
      </c>
      <c r="F41" s="1" t="n">
        <v>0</v>
      </c>
      <c r="G41" s="1" t="n">
        <v>1</v>
      </c>
      <c r="H41" s="1" t="n">
        <v>0</v>
      </c>
      <c r="I41" s="1" t="n">
        <v>1</v>
      </c>
      <c r="J41" s="1" t="n">
        <v>72</v>
      </c>
      <c r="K41" s="1" t="n">
        <v>64.5</v>
      </c>
      <c r="L41" s="1" t="n">
        <v>2</v>
      </c>
      <c r="M41" s="1" t="n">
        <v>22.7</v>
      </c>
      <c r="N41" s="1" t="n">
        <f aca="false">318/998</f>
        <v>0.3186372745</v>
      </c>
      <c r="O41" s="1" t="n">
        <v>0.315860214</v>
      </c>
      <c r="P41" s="1" t="n">
        <v>0.738</v>
      </c>
      <c r="S41" s="1" t="n">
        <f aca="false">3/(3+6)</f>
        <v>0.3333333333</v>
      </c>
    </row>
    <row r="42" customFormat="false" ht="12.75" hidden="false" customHeight="false" outlineLevel="0" collapsed="false">
      <c r="A42" s="1" t="s">
        <v>123</v>
      </c>
      <c r="B42" s="1" t="n">
        <v>4</v>
      </c>
      <c r="D42" s="1" t="n">
        <f aca="false">26/(26+9)</f>
        <v>0.7428571429</v>
      </c>
      <c r="E42" s="1" t="n">
        <v>8</v>
      </c>
      <c r="F42" s="1" t="n">
        <v>0</v>
      </c>
      <c r="G42" s="1" t="n">
        <v>1</v>
      </c>
      <c r="H42" s="1" t="n">
        <v>3</v>
      </c>
      <c r="I42" s="1" t="n">
        <v>1</v>
      </c>
      <c r="J42" s="1" t="n">
        <v>85.543</v>
      </c>
      <c r="K42" s="1" t="n">
        <v>73.2</v>
      </c>
      <c r="L42" s="1" t="n">
        <v>1</v>
      </c>
      <c r="M42" s="1" t="n">
        <v>18.5</v>
      </c>
      <c r="N42" s="1" t="n">
        <f aca="false">345/1148</f>
        <v>0.3005226481</v>
      </c>
      <c r="O42" s="1" t="n">
        <v>0.304609218</v>
      </c>
      <c r="P42" s="1" t="n">
        <v>0.769</v>
      </c>
      <c r="S42" s="1" t="n">
        <f aca="false">6/(6+6)</f>
        <v>0.5</v>
      </c>
    </row>
    <row r="43" customFormat="false" ht="12.75" hidden="false" customHeight="false" outlineLevel="0" collapsed="false">
      <c r="A43" s="1" t="s">
        <v>72</v>
      </c>
      <c r="B43" s="1" t="n">
        <v>0</v>
      </c>
      <c r="D43" s="1" t="n">
        <f aca="false">25/(25+7)</f>
        <v>0.78125</v>
      </c>
      <c r="E43" s="1" t="n">
        <v>9</v>
      </c>
      <c r="F43" s="1" t="n">
        <v>0</v>
      </c>
      <c r="G43" s="1" t="n">
        <v>0</v>
      </c>
      <c r="H43" s="1" t="n">
        <v>0</v>
      </c>
      <c r="I43" s="1" t="n">
        <v>1</v>
      </c>
      <c r="J43" s="1" t="n">
        <v>73.188</v>
      </c>
      <c r="K43" s="1" t="n">
        <v>63.7</v>
      </c>
      <c r="L43" s="1" t="n">
        <v>0</v>
      </c>
      <c r="M43" s="1" t="n">
        <v>19.7</v>
      </c>
      <c r="N43" s="1" t="n">
        <f aca="false">254/1003</f>
        <v>0.2532402792</v>
      </c>
      <c r="O43" s="1" t="n">
        <v>0.340734414</v>
      </c>
      <c r="P43" s="1" t="n">
        <v>0.732</v>
      </c>
      <c r="S43" s="1" t="n">
        <f aca="false">5/(5+4)</f>
        <v>0.5555555556</v>
      </c>
    </row>
    <row r="44" customFormat="false" ht="12.75" hidden="false" customHeight="false" outlineLevel="0" collapsed="false">
      <c r="A44" s="1" t="s">
        <v>590</v>
      </c>
      <c r="B44" s="1" t="n">
        <v>0</v>
      </c>
      <c r="D44" s="1" t="n">
        <f aca="false">22/(22+9)</f>
        <v>0.7096774194</v>
      </c>
      <c r="E44" s="1" t="n">
        <v>7</v>
      </c>
      <c r="F44" s="1" t="n">
        <v>0</v>
      </c>
      <c r="G44" s="1" t="n">
        <v>0</v>
      </c>
      <c r="H44" s="1" t="n">
        <v>0</v>
      </c>
      <c r="I44" s="1" t="n">
        <v>1</v>
      </c>
      <c r="J44" s="1" t="n">
        <v>81.258</v>
      </c>
      <c r="K44" s="1" t="n">
        <v>75.5</v>
      </c>
      <c r="L44" s="1" t="n">
        <v>1</v>
      </c>
      <c r="M44" s="1" t="n">
        <v>19.1</v>
      </c>
      <c r="N44" s="1" t="n">
        <f aca="false">394/1138</f>
        <v>0.3462214411</v>
      </c>
      <c r="O44" s="1" t="n">
        <v>0.277491069</v>
      </c>
      <c r="P44" s="1" t="n">
        <v>0.717</v>
      </c>
      <c r="S44" s="1" t="n">
        <f aca="false">3/(3+1)</f>
        <v>0.75</v>
      </c>
    </row>
    <row r="45" customFormat="false" ht="12.75" hidden="false" customHeight="false" outlineLevel="0" collapsed="false">
      <c r="A45" s="1" t="s">
        <v>197</v>
      </c>
      <c r="B45" s="1" t="n">
        <v>2</v>
      </c>
      <c r="D45" s="1" t="n">
        <f aca="false">29/(29+6)</f>
        <v>0.8285714286</v>
      </c>
      <c r="E45" s="1" t="n">
        <v>8</v>
      </c>
      <c r="F45" s="1" t="n">
        <v>0</v>
      </c>
      <c r="G45" s="1" t="n">
        <v>1</v>
      </c>
      <c r="H45" s="1" t="n">
        <v>2</v>
      </c>
      <c r="I45" s="1" t="n">
        <v>1</v>
      </c>
      <c r="J45" s="1" t="n">
        <v>72.286</v>
      </c>
      <c r="K45" s="1" t="n">
        <v>60.9</v>
      </c>
      <c r="L45" s="1" t="n">
        <v>0</v>
      </c>
      <c r="M45" s="1" t="n">
        <v>21</v>
      </c>
      <c r="N45" s="1" t="n">
        <f aca="false">419/1239</f>
        <v>0.3381759483</v>
      </c>
      <c r="O45" s="1" t="n">
        <v>0.260869566</v>
      </c>
      <c r="P45" s="1" t="n">
        <v>0.605</v>
      </c>
      <c r="S45" s="1" t="n">
        <f aca="false">4/(4+2)</f>
        <v>0.6666666667</v>
      </c>
    </row>
    <row r="46" customFormat="false" ht="12.75" hidden="false" customHeight="false" outlineLevel="0" collapsed="false">
      <c r="A46" s="1" t="s">
        <v>260</v>
      </c>
      <c r="B46" s="1" t="n">
        <v>0</v>
      </c>
      <c r="D46" s="1" t="n">
        <f aca="false">21/(21+12)</f>
        <v>0.6363636364</v>
      </c>
      <c r="E46" s="1" t="n">
        <v>8</v>
      </c>
      <c r="F46" s="1" t="n">
        <v>1</v>
      </c>
      <c r="G46" s="1" t="n">
        <v>0</v>
      </c>
      <c r="H46" s="1" t="n">
        <v>0</v>
      </c>
      <c r="I46" s="1" t="n">
        <v>1</v>
      </c>
      <c r="J46" s="1" t="n">
        <v>74.394</v>
      </c>
      <c r="K46" s="1" t="n">
        <v>71.4</v>
      </c>
      <c r="L46" s="1" t="n">
        <v>0</v>
      </c>
      <c r="M46" s="1" t="n">
        <v>21.4</v>
      </c>
      <c r="N46" s="1" t="n">
        <f aca="false">388/1193</f>
        <v>0.3252305113</v>
      </c>
      <c r="O46" s="1" t="n">
        <v>0.1796334</v>
      </c>
      <c r="P46" s="1" t="n">
        <v>0.66</v>
      </c>
      <c r="S46" s="1" t="n">
        <f aca="false">7/(7+3)</f>
        <v>0.7</v>
      </c>
    </row>
    <row r="47" customFormat="false" ht="12.75" hidden="false" customHeight="false" outlineLevel="0" collapsed="false">
      <c r="A47" s="1" t="s">
        <v>493</v>
      </c>
      <c r="B47" s="1" t="n">
        <v>0</v>
      </c>
      <c r="D47" s="1" t="n">
        <f aca="false">17/(17+19)</f>
        <v>0.4722222222</v>
      </c>
      <c r="E47" s="1" t="n">
        <v>6</v>
      </c>
      <c r="F47" s="1" t="n">
        <v>1</v>
      </c>
      <c r="G47" s="1" t="n">
        <v>0</v>
      </c>
      <c r="H47" s="1" t="n">
        <v>0</v>
      </c>
      <c r="I47" s="1" t="n">
        <v>1</v>
      </c>
      <c r="J47" s="1" t="n">
        <v>69.917</v>
      </c>
      <c r="K47" s="1" t="n">
        <v>68.9</v>
      </c>
      <c r="L47" s="1" t="n">
        <v>0</v>
      </c>
      <c r="M47" s="1" t="n">
        <v>21.5</v>
      </c>
      <c r="N47" s="1" t="n">
        <f aca="false">381/1287</f>
        <v>0.296037296</v>
      </c>
      <c r="O47" s="1" t="n">
        <v>0.297973779</v>
      </c>
      <c r="P47" s="1" t="n">
        <v>0.744</v>
      </c>
      <c r="S47" s="1" t="n">
        <f aca="false">2/(2+7)</f>
        <v>0.2222222222</v>
      </c>
    </row>
    <row r="48" customFormat="false" ht="12.75" hidden="false" customHeight="false" outlineLevel="0" collapsed="false">
      <c r="A48" s="1" t="s">
        <v>552</v>
      </c>
      <c r="B48" s="1" t="n">
        <v>2</v>
      </c>
      <c r="D48" s="1" t="n">
        <f aca="false">28/(28+8)</f>
        <v>0.7777777778</v>
      </c>
      <c r="E48" s="1" t="n">
        <v>7</v>
      </c>
      <c r="F48" s="1" t="n">
        <v>0</v>
      </c>
      <c r="G48" s="1" t="n">
        <v>0</v>
      </c>
      <c r="H48" s="1" t="n">
        <v>2</v>
      </c>
      <c r="I48" s="1" t="n">
        <v>1</v>
      </c>
      <c r="J48" s="1" t="n">
        <v>75.472</v>
      </c>
      <c r="K48" s="1" t="n">
        <v>67.4</v>
      </c>
      <c r="L48" s="1" t="n">
        <v>0</v>
      </c>
      <c r="M48" s="1" t="n">
        <v>19.4</v>
      </c>
      <c r="N48" s="1" t="n">
        <f aca="false">438/1287</f>
        <v>0.3403263403</v>
      </c>
      <c r="O48" s="1" t="n">
        <v>0.24291498</v>
      </c>
      <c r="P48" s="1" t="n">
        <v>0.619</v>
      </c>
      <c r="S48" s="1" t="n">
        <f aca="false">5/(5+2)</f>
        <v>0.7142857143</v>
      </c>
    </row>
    <row r="49" customFormat="false" ht="12.75" hidden="false" customHeight="false" outlineLevel="0" collapsed="false">
      <c r="A49" s="1" t="s">
        <v>261</v>
      </c>
      <c r="B49" s="1" t="n">
        <v>0</v>
      </c>
      <c r="D49" s="1" t="n">
        <f aca="false">20/(20+12)</f>
        <v>0.625</v>
      </c>
      <c r="E49" s="1" t="n">
        <v>5</v>
      </c>
      <c r="F49" s="1" t="n">
        <v>0</v>
      </c>
      <c r="G49" s="1" t="n">
        <v>1</v>
      </c>
      <c r="H49" s="1" t="n">
        <v>0</v>
      </c>
      <c r="I49" s="1" t="n">
        <v>1</v>
      </c>
      <c r="J49" s="1" t="n">
        <v>70.313</v>
      </c>
      <c r="K49" s="1" t="n">
        <v>68.8</v>
      </c>
      <c r="L49" s="1" t="n">
        <v>2</v>
      </c>
      <c r="M49" s="1" t="n">
        <v>20.8</v>
      </c>
      <c r="N49" s="1" t="n">
        <f aca="false">487/1137</f>
        <v>0.4283201407</v>
      </c>
      <c r="O49" s="1" t="n">
        <v>0.185333334</v>
      </c>
      <c r="P49" s="1" t="n">
        <v>0.67</v>
      </c>
      <c r="S49" s="1" t="n">
        <f aca="false">4/(4+3)</f>
        <v>0.5714285714</v>
      </c>
    </row>
    <row r="50" customFormat="false" ht="12.75" hidden="false" customHeight="false" outlineLevel="0" collapsed="false">
      <c r="A50" s="1" t="s">
        <v>335</v>
      </c>
      <c r="B50" s="1" t="n">
        <v>1</v>
      </c>
      <c r="D50" s="1" t="n">
        <f aca="false">20/(20+10)</f>
        <v>0.6666666667</v>
      </c>
      <c r="E50" s="55" t="n">
        <v>6</v>
      </c>
      <c r="F50" s="1" t="n">
        <v>0</v>
      </c>
      <c r="G50" s="1" t="n">
        <v>1</v>
      </c>
      <c r="H50" s="1" t="n">
        <v>1</v>
      </c>
      <c r="I50" s="1" t="n">
        <v>1</v>
      </c>
      <c r="J50" s="1" t="n">
        <v>80.667</v>
      </c>
      <c r="K50" s="1" t="n">
        <v>72.7</v>
      </c>
      <c r="L50" s="1" t="n">
        <v>3</v>
      </c>
      <c r="M50" s="1" t="n">
        <v>18.8</v>
      </c>
      <c r="N50" s="1" t="n">
        <f aca="false">415/1174</f>
        <v>0.3534923339</v>
      </c>
      <c r="O50" s="1" t="n">
        <v>0.25661157</v>
      </c>
      <c r="P50" s="1" t="n">
        <v>0.7</v>
      </c>
      <c r="S50" s="1" t="n">
        <f aca="false">3/(3+2)</f>
        <v>0.6</v>
      </c>
    </row>
    <row r="51" customFormat="false" ht="12.75" hidden="false" customHeight="false" outlineLevel="0" collapsed="false">
      <c r="A51" s="1" t="s">
        <v>33</v>
      </c>
      <c r="B51" s="1" t="n">
        <v>2</v>
      </c>
      <c r="D51" s="1" t="n">
        <f aca="false">22/(22+12)</f>
        <v>0.6470588235</v>
      </c>
      <c r="E51" s="55" t="n">
        <v>6</v>
      </c>
      <c r="F51" s="1" t="n">
        <v>0</v>
      </c>
      <c r="G51" s="1" t="n">
        <v>1</v>
      </c>
      <c r="H51" s="1" t="n">
        <v>0</v>
      </c>
      <c r="I51" s="1" t="n">
        <v>1</v>
      </c>
      <c r="J51" s="1" t="n">
        <v>78.147</v>
      </c>
      <c r="K51" s="1" t="n">
        <v>73.2</v>
      </c>
      <c r="L51" s="1" t="n">
        <v>2</v>
      </c>
      <c r="M51" s="1" t="n">
        <v>19.2</v>
      </c>
      <c r="N51" s="1" t="n">
        <f aca="false">479/1239</f>
        <v>0.3866020985</v>
      </c>
      <c r="O51" s="1" t="n">
        <v>0.225818592</v>
      </c>
      <c r="P51" s="1" t="n">
        <v>0.687</v>
      </c>
      <c r="S51" s="1" t="n">
        <f aca="false">5/(5+5)</f>
        <v>0.5</v>
      </c>
    </row>
    <row r="52" customFormat="false" ht="12.75" hidden="false" customHeight="false" outlineLevel="0" collapsed="false">
      <c r="A52" s="1" t="s">
        <v>65</v>
      </c>
      <c r="B52" s="1" t="n">
        <v>0</v>
      </c>
      <c r="D52" s="1" t="n">
        <f aca="false">23/(23+9)</f>
        <v>0.71875</v>
      </c>
      <c r="E52" s="55" t="n">
        <v>7</v>
      </c>
      <c r="F52" s="1" t="n">
        <v>0</v>
      </c>
      <c r="G52" s="1" t="n">
        <v>1</v>
      </c>
      <c r="H52" s="1" t="n">
        <v>2</v>
      </c>
      <c r="I52" s="1" t="n">
        <v>1</v>
      </c>
      <c r="J52" s="1" t="n">
        <v>79.125</v>
      </c>
      <c r="K52" s="1" t="n">
        <v>71.6</v>
      </c>
      <c r="L52" s="1" t="n">
        <v>1</v>
      </c>
      <c r="M52" s="1" t="n">
        <v>17</v>
      </c>
      <c r="N52" s="1" t="n">
        <f aca="false">396/1188</f>
        <v>0.3333333333</v>
      </c>
      <c r="O52" s="1" t="n">
        <v>0.172985781</v>
      </c>
      <c r="P52" s="1" t="n">
        <v>0.682</v>
      </c>
      <c r="S52" s="1" t="n">
        <f aca="false">4/(4+3)</f>
        <v>0.5714285714</v>
      </c>
    </row>
    <row r="53" customFormat="false" ht="12.75" hidden="false" customHeight="false" outlineLevel="0" collapsed="false">
      <c r="A53" s="1" t="s">
        <v>204</v>
      </c>
      <c r="B53" s="1" t="n">
        <v>1</v>
      </c>
      <c r="D53" s="1" t="n">
        <f aca="false">27/(27+7)</f>
        <v>0.7941176471</v>
      </c>
      <c r="E53" s="55" t="n">
        <v>7</v>
      </c>
      <c r="F53" s="1" t="n">
        <v>0</v>
      </c>
      <c r="G53" s="1" t="n">
        <v>0</v>
      </c>
      <c r="H53" s="1" t="n">
        <v>1</v>
      </c>
      <c r="I53" s="1" t="n">
        <v>1</v>
      </c>
      <c r="J53" s="1" t="n">
        <v>80.176</v>
      </c>
      <c r="K53" s="1" t="n">
        <v>69.6</v>
      </c>
      <c r="L53" s="1" t="n">
        <v>1</v>
      </c>
      <c r="M53" s="1" t="n">
        <v>17.9</v>
      </c>
      <c r="N53" s="1" t="n">
        <f aca="false">343/1142</f>
        <v>0.3003502627</v>
      </c>
      <c r="O53" s="1" t="n">
        <v>0.285033015</v>
      </c>
      <c r="P53" s="1" t="n">
        <v>0.753</v>
      </c>
      <c r="S53" s="1" t="n">
        <f aca="false">6/(6+4)</f>
        <v>0.6</v>
      </c>
    </row>
    <row r="54" customFormat="false" ht="12.75" hidden="false" customHeight="false" outlineLevel="0" collapsed="false">
      <c r="A54" s="1" t="s">
        <v>591</v>
      </c>
      <c r="B54" s="1" t="n">
        <v>0</v>
      </c>
      <c r="D54" s="1" t="n">
        <f aca="false">20/(20+11)</f>
        <v>0.6451612903</v>
      </c>
      <c r="E54" s="55" t="n">
        <v>7</v>
      </c>
      <c r="F54" s="1" t="n">
        <v>1</v>
      </c>
      <c r="G54" s="1" t="n">
        <v>0</v>
      </c>
      <c r="H54" s="1" t="n">
        <v>0</v>
      </c>
      <c r="I54" s="1" t="n">
        <v>1</v>
      </c>
      <c r="J54" s="1" t="n">
        <v>66.645</v>
      </c>
      <c r="K54" s="1" t="n">
        <v>61.6</v>
      </c>
      <c r="L54" s="1" t="n">
        <v>0</v>
      </c>
      <c r="M54" s="1" t="n">
        <v>21.5</v>
      </c>
      <c r="N54" s="1" t="n">
        <f aca="false">291/1051</f>
        <v>0.2768791627</v>
      </c>
      <c r="O54" s="1" t="n">
        <v>0.291868344</v>
      </c>
      <c r="P54" s="1" t="n">
        <v>0.756</v>
      </c>
      <c r="S54" s="1" t="n">
        <f aca="false">6/(6+7)</f>
        <v>0.4615384615</v>
      </c>
    </row>
    <row r="55" customFormat="false" ht="12.75" hidden="false" customHeight="false" outlineLevel="0" collapsed="false">
      <c r="A55" s="1" t="s">
        <v>64</v>
      </c>
      <c r="B55" s="1" t="n">
        <v>2</v>
      </c>
      <c r="D55" s="1" t="n">
        <f aca="false">21/(21+12)</f>
        <v>0.6363636364</v>
      </c>
      <c r="E55" s="55" t="n">
        <v>5</v>
      </c>
      <c r="F55" s="1" t="n">
        <v>0</v>
      </c>
      <c r="G55" s="1" t="n">
        <v>1</v>
      </c>
      <c r="H55" s="1" t="n">
        <v>2</v>
      </c>
      <c r="I55" s="1" t="n">
        <v>1</v>
      </c>
      <c r="J55" s="1" t="n">
        <v>75.03</v>
      </c>
      <c r="K55" s="1" t="n">
        <v>72.7</v>
      </c>
      <c r="L55" s="1" t="n">
        <v>2</v>
      </c>
      <c r="M55" s="1" t="n">
        <v>21.3</v>
      </c>
      <c r="N55" s="1" t="n">
        <f aca="false">346/1083</f>
        <v>0.3194829178</v>
      </c>
      <c r="O55" s="1" t="n">
        <v>0.27019386</v>
      </c>
      <c r="P55" s="1" t="n">
        <v>0.692</v>
      </c>
      <c r="Q55" s="1" t="n">
        <v>18</v>
      </c>
      <c r="S55" s="1" t="n">
        <f aca="false">7/(7+4)</f>
        <v>0.6363636364</v>
      </c>
    </row>
    <row r="56" customFormat="false" ht="12.75" hidden="false" customHeight="false" outlineLevel="0" collapsed="false">
      <c r="A56" s="1" t="s">
        <v>571</v>
      </c>
      <c r="B56" s="1" t="n">
        <v>0</v>
      </c>
      <c r="D56" s="1" t="n">
        <f aca="false">20/(20+14)</f>
        <v>0.5882352941</v>
      </c>
      <c r="E56" s="55" t="n">
        <v>7</v>
      </c>
      <c r="F56" s="1" t="n">
        <v>1</v>
      </c>
      <c r="G56" s="1" t="n">
        <v>0</v>
      </c>
      <c r="H56" s="1" t="n">
        <v>0</v>
      </c>
      <c r="I56" s="1" t="n">
        <v>1</v>
      </c>
      <c r="J56" s="1" t="n">
        <v>73.618</v>
      </c>
      <c r="K56" s="1" t="n">
        <v>71.4</v>
      </c>
      <c r="L56" s="1" t="n">
        <v>1</v>
      </c>
      <c r="M56" s="1" t="n">
        <v>18.5</v>
      </c>
      <c r="N56" s="1" t="n">
        <f aca="false">410/1144</f>
        <v>0.3583916084</v>
      </c>
      <c r="O56" s="1" t="n">
        <v>0.300838992</v>
      </c>
      <c r="P56" s="1" t="n">
        <v>0.658</v>
      </c>
      <c r="Q56" s="1" t="n">
        <v>17</v>
      </c>
      <c r="S56" s="1" t="n">
        <f aca="false">6/(6+3)</f>
        <v>0.6666666667</v>
      </c>
    </row>
    <row r="57" customFormat="false" ht="12.75" hidden="false" customHeight="false" outlineLevel="0" collapsed="false">
      <c r="A57" s="1" t="s">
        <v>592</v>
      </c>
      <c r="B57" s="1" t="n">
        <v>1</v>
      </c>
      <c r="D57" s="1" t="n">
        <f aca="false">23/(23+10)</f>
        <v>0.696969697</v>
      </c>
      <c r="E57" s="55" t="n">
        <v>7</v>
      </c>
      <c r="F57" s="1" t="n">
        <v>1</v>
      </c>
      <c r="G57" s="1" t="n">
        <v>0</v>
      </c>
      <c r="H57" s="1" t="n">
        <v>1</v>
      </c>
      <c r="I57" s="1" t="n">
        <v>1</v>
      </c>
      <c r="J57" s="1" t="n">
        <v>67.879</v>
      </c>
      <c r="K57" s="1" t="n">
        <v>61.6</v>
      </c>
      <c r="L57" s="1" t="n">
        <v>1</v>
      </c>
      <c r="M57" s="1" t="n">
        <v>18.7</v>
      </c>
      <c r="N57" s="1" t="n">
        <f aca="false">349/1062</f>
        <v>0.3286252354</v>
      </c>
      <c r="O57" s="1" t="n">
        <v>0.295982142</v>
      </c>
      <c r="P57" s="1" t="n">
        <v>0.689</v>
      </c>
      <c r="Q57" s="1" t="n">
        <v>16</v>
      </c>
      <c r="S57" s="1" t="n">
        <f aca="false">5/(5+6)</f>
        <v>0.4545454545</v>
      </c>
    </row>
    <row r="58" customFormat="false" ht="12.75" hidden="false" customHeight="false" outlineLevel="0" collapsed="false">
      <c r="A58" s="1" t="s">
        <v>131</v>
      </c>
      <c r="B58" s="1" t="n">
        <v>0</v>
      </c>
      <c r="D58" s="1" t="n">
        <f aca="false">22/(22+10)</f>
        <v>0.6875</v>
      </c>
      <c r="E58" s="55" t="n">
        <v>5</v>
      </c>
      <c r="F58" s="1" t="n">
        <v>0</v>
      </c>
      <c r="G58" s="1" t="n">
        <v>1</v>
      </c>
      <c r="H58" s="1" t="n">
        <v>0</v>
      </c>
      <c r="I58" s="1" t="n">
        <v>1</v>
      </c>
      <c r="J58" s="1" t="n">
        <v>77.938</v>
      </c>
      <c r="K58" s="1" t="n">
        <v>69.8</v>
      </c>
      <c r="L58" s="1" t="n">
        <v>1</v>
      </c>
      <c r="M58" s="1" t="n">
        <v>16.8</v>
      </c>
      <c r="N58" s="1" t="n">
        <f aca="false">441/1194</f>
        <v>0.3693467337</v>
      </c>
      <c r="O58" s="1" t="n">
        <v>0.241780272</v>
      </c>
      <c r="P58" s="1" t="n">
        <v>0.692</v>
      </c>
      <c r="Q58" s="1" t="n">
        <v>16</v>
      </c>
      <c r="S58" s="1" t="n">
        <f aca="false">4/(4+6)</f>
        <v>0.4</v>
      </c>
    </row>
    <row r="59" customFormat="false" ht="12.75" hidden="false" customHeight="false" outlineLevel="0" collapsed="false">
      <c r="A59" s="1" t="s">
        <v>206</v>
      </c>
      <c r="B59" s="1" t="n">
        <v>0</v>
      </c>
      <c r="D59" s="1" t="n">
        <f aca="false">21/(21+9)</f>
        <v>0.7</v>
      </c>
      <c r="E59" s="55" t="n">
        <v>5</v>
      </c>
      <c r="F59" s="1" t="n">
        <v>0</v>
      </c>
      <c r="G59" s="1" t="n">
        <v>0</v>
      </c>
      <c r="H59" s="1" t="n">
        <v>0</v>
      </c>
      <c r="I59" s="1" t="n">
        <v>1</v>
      </c>
      <c r="J59" s="1" t="n">
        <v>67.267</v>
      </c>
      <c r="K59" s="1" t="n">
        <v>61.7</v>
      </c>
      <c r="L59" s="1" t="n">
        <v>2</v>
      </c>
      <c r="M59" s="1" t="n">
        <v>21</v>
      </c>
      <c r="N59" s="1" t="n">
        <f aca="false">342/1083</f>
        <v>0.3157894737</v>
      </c>
      <c r="O59" s="1" t="n">
        <v>0.350842419</v>
      </c>
      <c r="P59" s="1" t="n">
        <v>0.673</v>
      </c>
      <c r="Q59" s="1" t="n">
        <v>20</v>
      </c>
      <c r="S59" s="1" t="n">
        <f aca="false">4/(4+2)</f>
        <v>0.6666666667</v>
      </c>
    </row>
    <row r="60" customFormat="false" ht="12.75" hidden="false" customHeight="false" outlineLevel="0" collapsed="false">
      <c r="A60" s="1" t="s">
        <v>267</v>
      </c>
      <c r="B60" s="1" t="n">
        <v>0</v>
      </c>
      <c r="D60" s="1" t="n">
        <f aca="false">25/(25+8)</f>
        <v>0.7575757576</v>
      </c>
      <c r="E60" s="55" t="n">
        <v>8</v>
      </c>
      <c r="F60" s="1" t="n">
        <v>1</v>
      </c>
      <c r="G60" s="1" t="n">
        <v>0</v>
      </c>
      <c r="H60" s="1" t="n">
        <v>0</v>
      </c>
      <c r="I60" s="1" t="n">
        <v>1</v>
      </c>
      <c r="J60" s="1" t="n">
        <v>77.697</v>
      </c>
      <c r="K60" s="1" t="n">
        <v>66.4</v>
      </c>
      <c r="L60" s="1" t="n">
        <v>2</v>
      </c>
      <c r="M60" s="1" t="n">
        <v>18.7</v>
      </c>
      <c r="N60" s="1" t="n">
        <f aca="false">437/1208</f>
        <v>0.3617549669</v>
      </c>
      <c r="O60" s="1" t="n">
        <v>0.32176287</v>
      </c>
      <c r="P60" s="1" t="n">
        <v>0.667</v>
      </c>
      <c r="Q60" s="1" t="n">
        <v>16</v>
      </c>
      <c r="S60" s="1" t="n">
        <f aca="false">1/(1+4)</f>
        <v>0.2</v>
      </c>
    </row>
    <row r="61" customFormat="false" ht="12.75" hidden="false" customHeight="false" outlineLevel="0" collapsed="false">
      <c r="A61" s="1" t="s">
        <v>136</v>
      </c>
      <c r="B61" s="1" t="n">
        <v>1</v>
      </c>
      <c r="D61" s="1" t="n">
        <f aca="false">21/(21+13)</f>
        <v>0.6176470588</v>
      </c>
      <c r="E61" s="55" t="n">
        <v>4</v>
      </c>
      <c r="F61" s="1" t="n">
        <v>0</v>
      </c>
      <c r="G61" s="1" t="n">
        <v>1</v>
      </c>
      <c r="H61" s="1" t="n">
        <v>1</v>
      </c>
      <c r="I61" s="1" t="n">
        <v>1</v>
      </c>
      <c r="J61" s="1" t="n">
        <v>82.029</v>
      </c>
      <c r="K61" s="1" t="n">
        <v>77.1</v>
      </c>
      <c r="L61" s="1" t="n">
        <v>1</v>
      </c>
      <c r="M61" s="1" t="n">
        <v>19.8</v>
      </c>
      <c r="N61" s="1" t="n">
        <f aca="false">418/1239</f>
        <v>0.3373688458</v>
      </c>
      <c r="O61" s="1" t="n">
        <v>0.258157047</v>
      </c>
      <c r="P61" s="1" t="n">
        <v>0.738</v>
      </c>
      <c r="Q61" s="1" t="n">
        <v>20</v>
      </c>
      <c r="S61" s="1" t="n">
        <f aca="false">5/(5+3)</f>
        <v>0.625</v>
      </c>
    </row>
    <row r="62" customFormat="false" ht="12.75" hidden="false" customHeight="false" outlineLevel="0" collapsed="false">
      <c r="A62" s="1" t="s">
        <v>379</v>
      </c>
      <c r="B62" s="1" t="n">
        <v>0</v>
      </c>
      <c r="D62" s="1" t="n">
        <f aca="false">28/(28+4)</f>
        <v>0.875</v>
      </c>
      <c r="E62" s="55" t="n">
        <v>9</v>
      </c>
      <c r="F62" s="1" t="n">
        <v>1</v>
      </c>
      <c r="G62" s="1" t="n">
        <v>0</v>
      </c>
      <c r="H62" s="1" t="n">
        <v>0</v>
      </c>
      <c r="I62" s="1" t="n">
        <v>1</v>
      </c>
      <c r="J62" s="1" t="n">
        <v>77.844</v>
      </c>
      <c r="K62" s="1" t="n">
        <v>65.5</v>
      </c>
      <c r="L62" s="1" t="n">
        <v>1</v>
      </c>
      <c r="M62" s="1" t="n">
        <v>20.2</v>
      </c>
      <c r="N62" s="1" t="n">
        <f aca="false">393/1195</f>
        <v>0.3288702929</v>
      </c>
      <c r="O62" s="1" t="n">
        <v>0.336009636</v>
      </c>
      <c r="P62" s="1" t="n">
        <v>0.699</v>
      </c>
      <c r="Q62" s="1" t="n">
        <v>15</v>
      </c>
      <c r="S62" s="1" t="n">
        <f aca="false">9/(9+3)</f>
        <v>0.75</v>
      </c>
    </row>
    <row r="63" customFormat="false" ht="12.75" hidden="false" customHeight="false" outlineLevel="0" collapsed="false">
      <c r="A63" s="1" t="s">
        <v>137</v>
      </c>
      <c r="B63" s="1" t="n">
        <v>0</v>
      </c>
      <c r="D63" s="1" t="n">
        <f aca="false">19/(19+12)</f>
        <v>0.6129032258</v>
      </c>
      <c r="E63" s="55" t="n">
        <v>8</v>
      </c>
      <c r="F63" s="1" t="n">
        <v>1</v>
      </c>
      <c r="G63" s="1" t="n">
        <v>0</v>
      </c>
      <c r="H63" s="1" t="n">
        <v>0</v>
      </c>
      <c r="I63" s="1" t="n">
        <v>1</v>
      </c>
      <c r="J63" s="1" t="n">
        <v>67.484</v>
      </c>
      <c r="K63" s="1" t="n">
        <v>65.2</v>
      </c>
      <c r="L63" s="1" t="n">
        <v>2</v>
      </c>
      <c r="M63" s="1" t="n">
        <v>21.7</v>
      </c>
      <c r="N63" s="1" t="n">
        <f aca="false">392/1149</f>
        <v>0.3411662315</v>
      </c>
      <c r="O63" s="1" t="n">
        <v>0.278202678</v>
      </c>
      <c r="P63" s="1" t="n">
        <v>0.655</v>
      </c>
      <c r="Q63" s="1" t="n">
        <v>15</v>
      </c>
      <c r="S63" s="1" t="n">
        <f aca="false">3/(3+3)</f>
        <v>0.5</v>
      </c>
    </row>
    <row r="64" customFormat="false" ht="12.75" hidden="false" customHeight="false" outlineLevel="0" collapsed="false">
      <c r="A64" s="1" t="s">
        <v>138</v>
      </c>
      <c r="B64" s="1" t="n">
        <v>1</v>
      </c>
      <c r="D64" s="1" t="n">
        <f aca="false">19/(19+13)</f>
        <v>0.59375</v>
      </c>
      <c r="E64" s="55" t="n">
        <v>7</v>
      </c>
      <c r="F64" s="1" t="n">
        <v>0</v>
      </c>
      <c r="G64" s="1" t="n">
        <v>1</v>
      </c>
      <c r="H64" s="1" t="n">
        <v>1</v>
      </c>
      <c r="I64" s="1" t="n">
        <v>1</v>
      </c>
      <c r="J64" s="1" t="n">
        <v>67</v>
      </c>
      <c r="K64" s="1" t="n">
        <v>65.8</v>
      </c>
      <c r="L64" s="1" t="n">
        <v>3</v>
      </c>
      <c r="M64" s="1" t="n">
        <v>19.9</v>
      </c>
      <c r="N64" s="1" t="n">
        <f aca="false">309/971</f>
        <v>0.3182286303</v>
      </c>
      <c r="O64" s="1" t="n">
        <v>0.295242537</v>
      </c>
      <c r="P64" s="1" t="n">
        <v>0.719</v>
      </c>
      <c r="Q64" s="1" t="n">
        <v>15</v>
      </c>
      <c r="S64" s="1" t="n">
        <f aca="false">7/(7+7)</f>
        <v>0.5</v>
      </c>
    </row>
    <row r="65" customFormat="false" ht="12.75" hidden="false" customHeight="false" outlineLevel="0" collapsed="false">
      <c r="A65" s="1" t="s">
        <v>270</v>
      </c>
      <c r="B65" s="1" t="n">
        <v>1</v>
      </c>
      <c r="D65" s="1" t="n">
        <f aca="false">22/(22+9)</f>
        <v>0.7096774194</v>
      </c>
      <c r="E65" s="55" t="n">
        <v>6</v>
      </c>
      <c r="F65" s="1" t="n">
        <v>0</v>
      </c>
      <c r="G65" s="1" t="n">
        <v>0</v>
      </c>
      <c r="H65" s="1" t="n">
        <v>1</v>
      </c>
      <c r="I65" s="1" t="n">
        <v>1</v>
      </c>
      <c r="J65" s="1" t="n">
        <v>74.968</v>
      </c>
      <c r="K65" s="1" t="n">
        <v>68.7</v>
      </c>
      <c r="L65" s="1" t="n">
        <v>0</v>
      </c>
      <c r="M65" s="1" t="n">
        <v>20.3</v>
      </c>
      <c r="N65" s="1" t="n">
        <f aca="false">374/1166</f>
        <v>0.320754717</v>
      </c>
      <c r="O65" s="1" t="n">
        <v>0.170395869</v>
      </c>
      <c r="P65" s="1" t="n">
        <v>0.698</v>
      </c>
      <c r="Q65" s="1" t="n">
        <v>15</v>
      </c>
      <c r="S65" s="1" t="n">
        <f aca="false">7/(7+3)</f>
        <v>0.7</v>
      </c>
    </row>
    <row r="66" customFormat="false" ht="12.75" hidden="false" customHeight="false" outlineLevel="0" collapsed="false">
      <c r="A66" s="1" t="s">
        <v>36</v>
      </c>
      <c r="B66" s="1" t="n">
        <v>1</v>
      </c>
      <c r="D66" s="1" t="n">
        <f aca="false">26/(26+6)</f>
        <v>0.8125</v>
      </c>
      <c r="E66" s="55" t="n">
        <v>8</v>
      </c>
      <c r="F66" s="1" t="n">
        <v>1</v>
      </c>
      <c r="G66" s="1" t="n">
        <v>0</v>
      </c>
      <c r="H66" s="1" t="n">
        <v>1</v>
      </c>
      <c r="I66" s="1" t="n">
        <v>1</v>
      </c>
      <c r="J66" s="1" t="n">
        <v>72.406</v>
      </c>
      <c r="K66" s="1" t="n">
        <v>62.6</v>
      </c>
      <c r="L66" s="1" t="n">
        <v>2</v>
      </c>
      <c r="M66" s="1" t="n">
        <v>20.2</v>
      </c>
      <c r="N66" s="1" t="n">
        <f aca="false">367/1110</f>
        <v>0.3306306306</v>
      </c>
      <c r="O66" s="1" t="n">
        <v>0.255071214</v>
      </c>
      <c r="P66" s="1" t="n">
        <v>0.721</v>
      </c>
      <c r="Q66" s="1" t="n">
        <v>13</v>
      </c>
      <c r="S66" s="1" t="n">
        <f aca="false">2/(2+2)</f>
        <v>0.5</v>
      </c>
    </row>
    <row r="67" customFormat="false" ht="12.75" hidden="false" customHeight="false" outlineLevel="0" collapsed="false">
      <c r="O67" s="1" t="s">
        <v>593</v>
      </c>
    </row>
    <row r="68" customFormat="false" ht="12.75" hidden="false" customHeight="false" outlineLevel="0" collapsed="false">
      <c r="O68" s="2" t="s">
        <v>594</v>
      </c>
      <c r="Q68" s="2" t="s">
        <v>595</v>
      </c>
    </row>
    <row r="109" customFormat="false" ht="1.5" hidden="false" customHeight="true" outlineLevel="0" collapsed="false"/>
  </sheetData>
  <hyperlinks>
    <hyperlink ref="O68" r:id="rId1" display="http://statsheet.com/mcb/teams/stats?season=2001-2002&amp;conf=&amp;games=&amp;stat=threefg_made&amp;stat_type="/>
    <hyperlink ref="Q68" r:id="rId2" location="play" display="http://statsheet.com/mcb/teams/xavier/players?season=2001-2002#play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RowHeight="12.75" zeroHeight="false" outlineLevelRow="0" outlineLevelCol="0"/>
  <cols>
    <col collapsed="false" customWidth="true" hidden="false" outlineLevel="0" max="1" min="1" style="0" width="20.71"/>
    <col collapsed="false" customWidth="true" hidden="false" outlineLevel="0" max="20" min="2" style="0" width="17.29"/>
    <col collapsed="false" customWidth="true" hidden="false" outlineLevel="0" max="1025" min="21" style="0" width="14.43"/>
  </cols>
  <sheetData>
    <row r="1" customFormat="false" ht="12.75" hidden="false" customHeight="false" outlineLevel="0" collapsed="false">
      <c r="A1" s="47" t="s">
        <v>2</v>
      </c>
      <c r="B1" s="47" t="s">
        <v>497</v>
      </c>
      <c r="C1" s="47"/>
      <c r="D1" s="47" t="s">
        <v>340</v>
      </c>
      <c r="E1" s="47" t="s">
        <v>441</v>
      </c>
      <c r="F1" s="47" t="s">
        <v>442</v>
      </c>
      <c r="G1" s="47" t="s">
        <v>443</v>
      </c>
      <c r="H1" s="47" t="s">
        <v>444</v>
      </c>
      <c r="I1" s="47" t="s">
        <v>445</v>
      </c>
      <c r="J1" s="47" t="s">
        <v>446</v>
      </c>
      <c r="K1" s="47" t="s">
        <v>447</v>
      </c>
      <c r="L1" s="47" t="s">
        <v>448</v>
      </c>
      <c r="M1" s="47" t="s">
        <v>449</v>
      </c>
      <c r="N1" s="47" t="s">
        <v>16</v>
      </c>
      <c r="O1" s="47" t="s">
        <v>451</v>
      </c>
      <c r="P1" s="47" t="s">
        <v>452</v>
      </c>
      <c r="Q1" s="47" t="s">
        <v>453</v>
      </c>
      <c r="R1" s="1" t="s">
        <v>596</v>
      </c>
    </row>
    <row r="2" customFormat="false" ht="12.75" hidden="false" customHeight="false" outlineLevel="0" collapsed="false">
      <c r="A2" s="1" t="s">
        <v>454</v>
      </c>
      <c r="B2" s="1" t="n">
        <v>0</v>
      </c>
      <c r="D2" s="1" t="n">
        <v>0.71</v>
      </c>
      <c r="E2" s="1" t="n">
        <v>8</v>
      </c>
      <c r="F2" s="1" t="n">
        <v>1</v>
      </c>
      <c r="G2" s="1" t="n">
        <v>0</v>
      </c>
      <c r="H2" s="1" t="n">
        <v>1</v>
      </c>
      <c r="I2" s="1" t="n">
        <v>0</v>
      </c>
      <c r="J2" s="1" t="n">
        <v>3</v>
      </c>
      <c r="K2" s="1" t="n">
        <v>0.2295</v>
      </c>
      <c r="L2" s="47" t="s">
        <v>597</v>
      </c>
      <c r="M2" s="1" t="n">
        <v>0.326</v>
      </c>
      <c r="N2" s="1" t="n">
        <v>0.658</v>
      </c>
      <c r="O2" s="1" t="n">
        <f aca="false">4+3+3+2+2+4</f>
        <v>18</v>
      </c>
      <c r="P2" s="1" t="n">
        <v>7.2</v>
      </c>
      <c r="Q2" s="1" t="n">
        <f aca="false">1/4</f>
        <v>0.25</v>
      </c>
      <c r="R2" s="1" t="n">
        <v>-13.62</v>
      </c>
    </row>
    <row r="3" customFormat="false" ht="12.75" hidden="false" customHeight="false" outlineLevel="0" collapsed="false">
      <c r="A3" s="1" t="s">
        <v>26</v>
      </c>
      <c r="B3" s="1" t="n">
        <v>5</v>
      </c>
      <c r="D3" s="1" t="n">
        <v>0.778</v>
      </c>
      <c r="E3" s="1" t="n">
        <v>9</v>
      </c>
      <c r="F3" s="1" t="n">
        <v>0</v>
      </c>
      <c r="G3" s="1" t="n">
        <v>1</v>
      </c>
      <c r="H3" s="1" t="n">
        <v>8</v>
      </c>
      <c r="I3" s="1" t="n">
        <v>3</v>
      </c>
      <c r="J3" s="1" t="n">
        <v>3</v>
      </c>
      <c r="K3" s="1" t="n">
        <v>0.2155</v>
      </c>
      <c r="L3" s="1" t="n">
        <v>0.362</v>
      </c>
      <c r="M3" s="1" t="n">
        <v>0.355</v>
      </c>
      <c r="N3" s="1" t="n">
        <v>0.748</v>
      </c>
      <c r="O3" s="1" t="n">
        <f aca="false">2+2+3+3+4+2</f>
        <v>16</v>
      </c>
      <c r="P3" s="1" t="n">
        <v>20.6</v>
      </c>
      <c r="Q3" s="1" t="n">
        <f aca="false">4/8</f>
        <v>0.5</v>
      </c>
      <c r="R3" s="1" t="n">
        <v>12.5</v>
      </c>
    </row>
    <row r="4" customFormat="false" ht="12.75" hidden="false" customHeight="false" outlineLevel="0" collapsed="false">
      <c r="A4" s="1" t="s">
        <v>67</v>
      </c>
      <c r="B4" s="1" t="n">
        <v>0</v>
      </c>
      <c r="D4" s="1" t="n">
        <v>0.645</v>
      </c>
      <c r="E4" s="1" t="n">
        <v>6</v>
      </c>
      <c r="F4" s="1" t="n">
        <v>0</v>
      </c>
      <c r="G4" s="1" t="n">
        <v>1</v>
      </c>
      <c r="H4" s="1" t="n">
        <v>4</v>
      </c>
      <c r="I4" s="1" t="n">
        <v>6</v>
      </c>
      <c r="J4" s="1" t="n">
        <v>3</v>
      </c>
      <c r="K4" s="1" t="n">
        <v>0.2415</v>
      </c>
      <c r="L4" s="1" t="n">
        <v>0.384</v>
      </c>
      <c r="M4" s="1" t="n">
        <v>0.368</v>
      </c>
      <c r="N4" s="1" t="n">
        <v>0.69</v>
      </c>
      <c r="O4" s="1" t="n">
        <f aca="false">2+1+3+3+2+3</f>
        <v>14</v>
      </c>
      <c r="P4" s="1" t="n">
        <v>14.8</v>
      </c>
      <c r="Q4" s="1" t="n">
        <f aca="false">4/7</f>
        <v>0.5714285714</v>
      </c>
      <c r="R4" s="1" t="n">
        <v>6.2</v>
      </c>
    </row>
    <row r="5" customFormat="false" ht="12.75" hidden="false" customHeight="false" outlineLevel="0" collapsed="false">
      <c r="A5" s="1" t="s">
        <v>504</v>
      </c>
      <c r="B5" s="1" t="n">
        <v>1</v>
      </c>
      <c r="D5" s="1" t="n">
        <v>0.844</v>
      </c>
      <c r="E5" s="1" t="n">
        <v>8</v>
      </c>
      <c r="F5" s="1" t="n">
        <v>1</v>
      </c>
      <c r="G5" s="1" t="n">
        <v>1</v>
      </c>
      <c r="H5" s="1" t="n">
        <v>5</v>
      </c>
      <c r="I5" s="1" t="n">
        <v>2</v>
      </c>
      <c r="J5" s="1" t="n">
        <v>1</v>
      </c>
      <c r="K5" s="1" t="n">
        <v>0.2305</v>
      </c>
      <c r="L5" s="1" t="n">
        <v>0.401</v>
      </c>
      <c r="M5" s="1" t="n">
        <v>0.353</v>
      </c>
      <c r="N5" s="1" t="n">
        <v>0.709</v>
      </c>
      <c r="O5" s="1" t="n">
        <f aca="false">2+3+4+2+3+1</f>
        <v>15</v>
      </c>
      <c r="P5" s="1" t="n">
        <v>18.7</v>
      </c>
      <c r="Q5" s="1" t="n">
        <f aca="false">5/8</f>
        <v>0.625</v>
      </c>
      <c r="R5" s="1" t="n">
        <v>5.7</v>
      </c>
    </row>
    <row r="6" customFormat="false" ht="12.75" hidden="false" customHeight="false" outlineLevel="0" collapsed="false">
      <c r="A6" s="1" t="s">
        <v>428</v>
      </c>
      <c r="B6" s="1" t="n">
        <v>0</v>
      </c>
      <c r="D6" s="1" t="n">
        <v>0.727</v>
      </c>
      <c r="E6" s="1" t="n">
        <v>8</v>
      </c>
      <c r="F6" s="1" t="n">
        <v>1</v>
      </c>
      <c r="G6" s="1" t="n">
        <v>0</v>
      </c>
      <c r="H6" s="1" t="n">
        <v>2</v>
      </c>
      <c r="I6" s="1" t="n">
        <v>2</v>
      </c>
      <c r="J6" s="1" t="n">
        <v>1</v>
      </c>
      <c r="K6" s="1" t="n">
        <v>0.2175</v>
      </c>
      <c r="L6" s="1" t="n">
        <v>0.303</v>
      </c>
      <c r="M6" s="1" t="n">
        <v>0.381</v>
      </c>
      <c r="N6" s="1" t="n">
        <v>0.78</v>
      </c>
      <c r="O6" s="1" t="n">
        <f aca="false">2+4+2+3+4+3</f>
        <v>18</v>
      </c>
      <c r="P6" s="1" t="n">
        <v>11.7</v>
      </c>
      <c r="Q6" s="1" t="n">
        <f aca="false">5/7</f>
        <v>0.7142857143</v>
      </c>
      <c r="R6" s="1" t="n">
        <v>3.5</v>
      </c>
    </row>
    <row r="7" customFormat="false" ht="12.75" hidden="false" customHeight="false" outlineLevel="0" collapsed="false">
      <c r="A7" s="1" t="s">
        <v>68</v>
      </c>
      <c r="B7" s="1" t="n">
        <v>1</v>
      </c>
      <c r="D7" s="1" t="n">
        <v>0.75</v>
      </c>
      <c r="E7" s="1" t="n">
        <v>9</v>
      </c>
      <c r="F7" s="1" t="n">
        <v>1</v>
      </c>
      <c r="G7" s="1" t="n">
        <v>0</v>
      </c>
      <c r="H7" s="1" t="n">
        <v>2</v>
      </c>
      <c r="I7" s="1" t="n">
        <v>2</v>
      </c>
      <c r="J7" s="1" t="n">
        <v>2</v>
      </c>
      <c r="K7" s="1" t="n">
        <v>0.2185</v>
      </c>
      <c r="L7" s="1" t="n">
        <v>0.343</v>
      </c>
      <c r="M7" s="1" t="n">
        <v>0.407</v>
      </c>
      <c r="N7" s="1" t="n">
        <v>0.716</v>
      </c>
      <c r="O7" s="1" t="n">
        <f aca="false">2+3+4+2+3+2</f>
        <v>16</v>
      </c>
      <c r="P7" s="1" t="n">
        <v>13.9</v>
      </c>
      <c r="Q7" s="1" t="n">
        <f aca="false">5/11</f>
        <v>0.4545454545</v>
      </c>
      <c r="R7" s="1" t="n">
        <v>4</v>
      </c>
    </row>
    <row r="8" customFormat="false" ht="12.75" hidden="false" customHeight="false" outlineLevel="0" collapsed="false">
      <c r="A8" s="1" t="s">
        <v>598</v>
      </c>
      <c r="B8" s="1" t="n">
        <v>0</v>
      </c>
      <c r="D8" s="1" t="n">
        <v>0.688</v>
      </c>
      <c r="E8" s="1" t="n">
        <v>8</v>
      </c>
      <c r="F8" s="1" t="n">
        <v>1</v>
      </c>
      <c r="G8" s="1" t="n">
        <v>0</v>
      </c>
      <c r="H8" s="1" t="n">
        <v>3</v>
      </c>
      <c r="I8" s="1" t="n">
        <v>4</v>
      </c>
      <c r="J8" s="1" t="n">
        <v>1</v>
      </c>
      <c r="K8" s="1" t="n">
        <v>0.2175</v>
      </c>
      <c r="L8" s="1" t="n">
        <v>0.338</v>
      </c>
      <c r="M8" s="1" t="n">
        <v>0.397</v>
      </c>
      <c r="N8" s="1" t="n">
        <v>0.709</v>
      </c>
      <c r="O8" s="1" t="n">
        <f aca="false">4+3+4+2+2+4</f>
        <v>19</v>
      </c>
      <c r="P8" s="1" t="n">
        <v>10.1</v>
      </c>
      <c r="Q8" s="1" t="n">
        <f aca="false">4/9</f>
        <v>0.4444444444</v>
      </c>
      <c r="R8" s="1" t="n">
        <v>0.2</v>
      </c>
    </row>
    <row r="9" customFormat="false" ht="12.75" hidden="false" customHeight="false" outlineLevel="0" collapsed="false">
      <c r="A9" s="1" t="s">
        <v>179</v>
      </c>
      <c r="B9" s="1" t="n">
        <v>0</v>
      </c>
      <c r="D9" s="1" t="n">
        <v>0.645</v>
      </c>
      <c r="E9" s="1" t="n">
        <v>5</v>
      </c>
      <c r="F9" s="1" t="n">
        <v>0</v>
      </c>
      <c r="G9" s="1" t="n">
        <v>1</v>
      </c>
      <c r="H9" s="1" t="n">
        <v>3</v>
      </c>
      <c r="I9" s="1" t="n">
        <v>8</v>
      </c>
      <c r="J9" s="1" t="n">
        <v>1</v>
      </c>
      <c r="K9" s="1" t="n">
        <v>0.212</v>
      </c>
      <c r="L9" s="1" t="n">
        <v>0.287</v>
      </c>
      <c r="M9" s="1" t="n">
        <v>0.35</v>
      </c>
      <c r="N9" s="1" t="n">
        <v>0.686</v>
      </c>
      <c r="O9" s="1" t="n">
        <f aca="false">4+2+3+2+2+2</f>
        <v>15</v>
      </c>
      <c r="P9" s="1" t="n">
        <v>8</v>
      </c>
      <c r="Q9" s="1" t="n">
        <f aca="false">2/8</f>
        <v>0.25</v>
      </c>
      <c r="R9" s="1" t="n">
        <v>9.1</v>
      </c>
    </row>
    <row r="10" customFormat="false" ht="12.75" hidden="false" customHeight="false" outlineLevel="0" collapsed="false">
      <c r="A10" s="1" t="s">
        <v>559</v>
      </c>
      <c r="B10" s="1" t="n">
        <v>1</v>
      </c>
      <c r="D10" s="1" t="n">
        <v>0.667</v>
      </c>
      <c r="E10" s="1" t="n">
        <v>8</v>
      </c>
      <c r="F10" s="1" t="n">
        <v>1</v>
      </c>
      <c r="G10" s="1" t="n">
        <v>0</v>
      </c>
      <c r="H10" s="1" t="n">
        <v>3</v>
      </c>
      <c r="I10" s="1" t="n">
        <v>3</v>
      </c>
      <c r="J10" s="1" t="n">
        <v>2</v>
      </c>
      <c r="K10" s="1" t="n">
        <v>0.189</v>
      </c>
      <c r="L10" s="1" t="n">
        <v>0.332</v>
      </c>
      <c r="M10" s="1" t="n">
        <v>0.36</v>
      </c>
      <c r="N10" s="1" t="n">
        <v>0.685</v>
      </c>
      <c r="O10" s="1" t="n">
        <v>13</v>
      </c>
      <c r="P10" s="1" t="n">
        <v>8.8</v>
      </c>
      <c r="Q10" s="1" t="n">
        <f aca="false">4/7</f>
        <v>0.5714285714</v>
      </c>
      <c r="R10" s="1" t="n">
        <v>8</v>
      </c>
    </row>
    <row r="11" customFormat="false" ht="12.75" hidden="false" customHeight="false" outlineLevel="0" collapsed="false">
      <c r="A11" s="1" t="s">
        <v>34</v>
      </c>
      <c r="B11" s="1" t="n">
        <v>2</v>
      </c>
      <c r="D11" s="1" t="n">
        <v>0.714</v>
      </c>
      <c r="E11" s="1" t="n">
        <v>8</v>
      </c>
      <c r="F11" s="1" t="n">
        <v>0</v>
      </c>
      <c r="G11" s="1" t="n">
        <v>0</v>
      </c>
      <c r="H11" s="1" t="n">
        <v>3</v>
      </c>
      <c r="I11" s="1" t="n">
        <v>4</v>
      </c>
      <c r="J11" s="1" t="n">
        <v>3</v>
      </c>
      <c r="K11" s="1" t="n">
        <v>0.1975</v>
      </c>
      <c r="L11" s="1" t="n">
        <v>0.371</v>
      </c>
      <c r="M11" s="1" t="n">
        <v>0.357</v>
      </c>
      <c r="N11" s="1" t="n">
        <v>0.697</v>
      </c>
      <c r="O11" s="1" t="n">
        <f aca="false">2+3+2+2+3+1</f>
        <v>13</v>
      </c>
      <c r="P11" s="1" t="n">
        <v>12.4</v>
      </c>
      <c r="Q11" s="1" t="n">
        <f aca="false">4/9</f>
        <v>0.4444444444</v>
      </c>
      <c r="R11" s="1" t="n">
        <v>7.9</v>
      </c>
    </row>
    <row r="12" customFormat="false" ht="12.75" hidden="false" customHeight="false" outlineLevel="0" collapsed="false">
      <c r="A12" s="1" t="s">
        <v>22</v>
      </c>
      <c r="B12" s="1" t="n">
        <v>0</v>
      </c>
      <c r="D12" s="1" t="n">
        <v>0.75</v>
      </c>
      <c r="E12" s="1" t="n">
        <v>8</v>
      </c>
      <c r="F12" s="1" t="n">
        <v>0</v>
      </c>
      <c r="G12" s="1" t="n">
        <v>0</v>
      </c>
      <c r="H12" s="1" t="n">
        <v>4</v>
      </c>
      <c r="I12" s="1" t="n">
        <v>1</v>
      </c>
      <c r="J12" s="1" t="n">
        <v>3</v>
      </c>
      <c r="K12" s="1" t="n">
        <v>0.2265</v>
      </c>
      <c r="L12" s="1" t="n">
        <v>0.309</v>
      </c>
      <c r="M12" s="1" t="n">
        <v>0.359</v>
      </c>
      <c r="N12" s="1" t="n">
        <v>0.702</v>
      </c>
      <c r="O12" s="1" t="n">
        <f aca="false">4+2+4+2+2+4</f>
        <v>18</v>
      </c>
      <c r="P12" s="1" t="n">
        <v>13.7</v>
      </c>
      <c r="Q12" s="1" t="n">
        <f aca="false">1/5</f>
        <v>0.2</v>
      </c>
      <c r="R12" s="1" t="n">
        <v>3</v>
      </c>
    </row>
    <row r="13" customFormat="false" ht="12.75" hidden="false" customHeight="false" outlineLevel="0" collapsed="false">
      <c r="A13" s="1" t="s">
        <v>86</v>
      </c>
      <c r="B13" s="1" t="n">
        <v>6</v>
      </c>
      <c r="D13" s="1" t="n">
        <v>0.897</v>
      </c>
      <c r="E13" s="1" t="n">
        <v>10</v>
      </c>
      <c r="F13" s="1" t="n">
        <v>1</v>
      </c>
      <c r="G13" s="1" t="n">
        <v>1</v>
      </c>
      <c r="H13" s="1" t="n">
        <v>18</v>
      </c>
      <c r="I13" s="1" t="n">
        <v>4</v>
      </c>
      <c r="J13" s="1" t="n">
        <v>3</v>
      </c>
      <c r="K13" s="1" t="n">
        <v>0.2125</v>
      </c>
      <c r="L13" s="1" t="n">
        <v>0.366</v>
      </c>
      <c r="M13" s="1" t="n">
        <v>0.385</v>
      </c>
      <c r="N13" s="1" t="n">
        <v>0.696</v>
      </c>
      <c r="O13" s="1" t="n">
        <f aca="false">4+2+2+4+1+2</f>
        <v>15</v>
      </c>
      <c r="P13" s="1" t="n">
        <v>26.2</v>
      </c>
      <c r="Q13" s="1" t="n">
        <f aca="false">5/8</f>
        <v>0.625</v>
      </c>
      <c r="R13" s="1" t="n">
        <v>12</v>
      </c>
    </row>
    <row r="14" customFormat="false" ht="12.75" hidden="false" customHeight="false" outlineLevel="0" collapsed="false">
      <c r="A14" s="1" t="s">
        <v>599</v>
      </c>
      <c r="B14" s="1" t="n">
        <v>0</v>
      </c>
      <c r="D14" s="1" t="n">
        <v>0.677</v>
      </c>
      <c r="E14" s="1" t="n">
        <v>6</v>
      </c>
      <c r="F14" s="1" t="n">
        <v>1</v>
      </c>
      <c r="G14" s="1" t="n">
        <v>0</v>
      </c>
      <c r="H14" s="1" t="n">
        <v>0</v>
      </c>
      <c r="I14" s="1" t="n">
        <v>2</v>
      </c>
      <c r="J14" s="1" t="n">
        <v>1</v>
      </c>
      <c r="K14" s="1" t="n">
        <v>0.188</v>
      </c>
      <c r="L14" s="1" t="n">
        <v>0.34</v>
      </c>
      <c r="M14" s="1" t="n">
        <v>0.394</v>
      </c>
      <c r="N14" s="1" t="n">
        <v>0.775</v>
      </c>
      <c r="O14" s="1" t="n">
        <f aca="false">4+2+2+3+2+1</f>
        <v>14</v>
      </c>
      <c r="P14" s="1" t="n">
        <v>5.4</v>
      </c>
      <c r="Q14" s="1" t="n">
        <f aca="false">6/8</f>
        <v>0.75</v>
      </c>
      <c r="R14" s="1" t="n">
        <v>-2.5</v>
      </c>
    </row>
    <row r="15" customFormat="false" ht="12.75" hidden="false" customHeight="false" outlineLevel="0" collapsed="false">
      <c r="A15" s="1" t="s">
        <v>62</v>
      </c>
      <c r="B15" s="1" t="n">
        <v>1</v>
      </c>
      <c r="D15" s="1" t="n">
        <v>0.774</v>
      </c>
      <c r="E15" s="1" t="n">
        <v>8</v>
      </c>
      <c r="F15" s="1" t="n">
        <v>0</v>
      </c>
      <c r="G15" s="1" t="n">
        <v>1</v>
      </c>
      <c r="H15" s="1" t="n">
        <v>8</v>
      </c>
      <c r="I15" s="1" t="n">
        <v>4</v>
      </c>
      <c r="J15" s="1" t="n">
        <v>3</v>
      </c>
      <c r="K15" s="1" t="n">
        <v>0.213</v>
      </c>
      <c r="L15" s="1" t="n">
        <v>0.306</v>
      </c>
      <c r="M15" s="1" t="n">
        <v>0.383</v>
      </c>
      <c r="N15" s="1" t="n">
        <v>0.729</v>
      </c>
      <c r="O15" s="1" t="n">
        <f aca="false">2+2+3+4+3+1</f>
        <v>15</v>
      </c>
      <c r="P15" s="1" t="n">
        <v>19</v>
      </c>
      <c r="Q15" s="1" t="n">
        <v>0.285</v>
      </c>
      <c r="R15" s="1" t="n">
        <v>7.5</v>
      </c>
    </row>
    <row r="16" customFormat="false" ht="12.75" hidden="false" customHeight="false" outlineLevel="0" collapsed="false">
      <c r="A16" s="1" t="s">
        <v>186</v>
      </c>
      <c r="B16" s="1" t="n">
        <v>1</v>
      </c>
      <c r="D16" s="1" t="n">
        <v>0.788</v>
      </c>
      <c r="E16" s="1" t="n">
        <v>6</v>
      </c>
      <c r="F16" s="1" t="n">
        <v>0</v>
      </c>
      <c r="G16" s="1" t="n">
        <v>0</v>
      </c>
      <c r="H16" s="1" t="n">
        <v>2</v>
      </c>
      <c r="I16" s="1" t="n">
        <v>2</v>
      </c>
      <c r="J16" s="1" t="n">
        <v>2</v>
      </c>
      <c r="K16" s="1" t="n">
        <v>0.2345</v>
      </c>
      <c r="L16" s="1" t="n">
        <v>0.34</v>
      </c>
      <c r="M16" s="1" t="n">
        <v>0.355</v>
      </c>
      <c r="N16" s="1" t="n">
        <v>0.681</v>
      </c>
      <c r="O16" s="1" t="n">
        <f aca="false">4+2+3+3+1+2</f>
        <v>15</v>
      </c>
      <c r="P16" s="1" t="n">
        <v>13.5</v>
      </c>
      <c r="Q16" s="1" t="n">
        <f aca="false">2/3</f>
        <v>0.6666666667</v>
      </c>
      <c r="R16" s="1" t="n">
        <v>5</v>
      </c>
    </row>
    <row r="17" customFormat="false" ht="12.75" hidden="false" customHeight="false" outlineLevel="0" collapsed="false">
      <c r="A17" s="1" t="s">
        <v>457</v>
      </c>
      <c r="B17" s="1" t="n">
        <v>0</v>
      </c>
      <c r="D17" s="1" t="n">
        <v>0.6</v>
      </c>
      <c r="E17" s="1" t="n">
        <v>6</v>
      </c>
      <c r="F17" s="1" t="n">
        <v>1</v>
      </c>
      <c r="G17" s="1" t="n">
        <v>0</v>
      </c>
      <c r="H17" s="1" t="n">
        <v>0</v>
      </c>
      <c r="I17" s="1" t="n">
        <v>0</v>
      </c>
      <c r="J17" s="1" t="n">
        <v>3</v>
      </c>
      <c r="K17" s="1" t="n">
        <v>0.2285</v>
      </c>
      <c r="L17" s="1" t="n">
        <v>0.338</v>
      </c>
      <c r="M17" s="1" t="n">
        <v>0.323</v>
      </c>
      <c r="N17" s="1" t="n">
        <v>0.659</v>
      </c>
      <c r="O17" s="1" t="n">
        <f aca="false">4+4+4+2+2+3</f>
        <v>19</v>
      </c>
      <c r="P17" s="1" t="n">
        <v>8</v>
      </c>
      <c r="Q17" s="1" t="n">
        <v>0.5</v>
      </c>
      <c r="R17" s="1" t="n">
        <v>-0.3</v>
      </c>
    </row>
    <row r="18" customFormat="false" ht="12.75" hidden="false" customHeight="false" outlineLevel="0" collapsed="false">
      <c r="A18" s="1" t="s">
        <v>246</v>
      </c>
      <c r="B18" s="1" t="n">
        <v>2</v>
      </c>
      <c r="D18" s="1" t="n">
        <v>0.758</v>
      </c>
      <c r="E18" s="1" t="n">
        <v>6</v>
      </c>
      <c r="F18" s="1" t="n">
        <v>0</v>
      </c>
      <c r="G18" s="1" t="n">
        <v>1</v>
      </c>
      <c r="H18" s="1" t="n">
        <v>4</v>
      </c>
      <c r="I18" s="1" t="n">
        <v>3</v>
      </c>
      <c r="J18" s="1" t="n">
        <v>1</v>
      </c>
      <c r="K18" s="1" t="n">
        <v>0.2325</v>
      </c>
      <c r="L18" s="1" t="n">
        <v>0.395</v>
      </c>
      <c r="M18" s="1" t="n">
        <v>0.332</v>
      </c>
      <c r="N18" s="1" t="n">
        <v>0.661</v>
      </c>
      <c r="O18" s="1" t="n">
        <f aca="false">3+2+1+4+1+3</f>
        <v>14</v>
      </c>
      <c r="P18" s="1" t="n">
        <v>14.1</v>
      </c>
      <c r="Q18" s="1" t="n">
        <v>0.4</v>
      </c>
      <c r="R18" s="1" t="n">
        <v>1.6</v>
      </c>
    </row>
    <row r="19" customFormat="false" ht="12.75" hidden="false" customHeight="false" outlineLevel="0" collapsed="false">
      <c r="A19" s="1" t="s">
        <v>248</v>
      </c>
      <c r="B19" s="1" t="n">
        <v>0</v>
      </c>
      <c r="D19" s="1" t="n">
        <v>0.853</v>
      </c>
      <c r="E19" s="1" t="n">
        <v>8</v>
      </c>
      <c r="F19" s="1" t="n">
        <v>1</v>
      </c>
      <c r="G19" s="1" t="n">
        <v>0</v>
      </c>
      <c r="H19" s="1" t="n">
        <v>3</v>
      </c>
      <c r="I19" s="1" t="n">
        <v>1</v>
      </c>
      <c r="J19" s="1" t="n">
        <v>1</v>
      </c>
      <c r="K19" s="1" t="n">
        <v>0.216</v>
      </c>
      <c r="L19" s="1" t="n">
        <v>0.361</v>
      </c>
      <c r="M19" s="1" t="n">
        <v>0.354</v>
      </c>
      <c r="N19" s="1" t="n">
        <v>0.702</v>
      </c>
      <c r="O19" s="1" t="n">
        <f aca="false">1+4+4+2+3+1</f>
        <v>15</v>
      </c>
      <c r="P19" s="1" t="n">
        <v>15</v>
      </c>
      <c r="Q19" s="1" t="n">
        <v>0.833</v>
      </c>
      <c r="R19" s="1" t="n">
        <v>-3.7</v>
      </c>
    </row>
    <row r="20" customFormat="false" ht="12.75" hidden="false" customHeight="false" outlineLevel="0" collapsed="false">
      <c r="A20" s="1" t="s">
        <v>482</v>
      </c>
      <c r="B20" s="1" t="n">
        <v>0</v>
      </c>
      <c r="D20" s="1" t="n">
        <v>0.567</v>
      </c>
      <c r="E20" s="1" t="n">
        <v>5</v>
      </c>
      <c r="F20" s="1" t="n">
        <v>0</v>
      </c>
      <c r="G20" s="1" t="n">
        <v>1</v>
      </c>
      <c r="H20" s="1" t="n">
        <v>8</v>
      </c>
      <c r="I20" s="1" t="n">
        <v>11</v>
      </c>
      <c r="J20" s="1" t="n">
        <v>1</v>
      </c>
      <c r="K20" s="1" t="n">
        <v>0.2115</v>
      </c>
      <c r="L20" s="1" t="n">
        <v>0.323</v>
      </c>
      <c r="M20" s="1" t="n">
        <v>0.371</v>
      </c>
      <c r="N20" s="1" t="n">
        <v>0.69</v>
      </c>
      <c r="O20" s="1" t="n">
        <f aca="false">3+4+2+1+4+1</f>
        <v>15</v>
      </c>
      <c r="P20" s="1" t="n">
        <v>3.6</v>
      </c>
      <c r="Q20" s="1" t="n">
        <v>0.714</v>
      </c>
      <c r="R20" s="1" t="n">
        <v>11.8</v>
      </c>
    </row>
    <row r="21" customFormat="false" ht="12.75" hidden="false" customHeight="false" outlineLevel="0" collapsed="false">
      <c r="A21" s="1" t="s">
        <v>247</v>
      </c>
      <c r="B21" s="1" t="n">
        <v>0</v>
      </c>
      <c r="D21" s="1" t="n">
        <v>0.516</v>
      </c>
      <c r="E21" s="1" t="n">
        <v>3</v>
      </c>
      <c r="F21" s="1" t="n">
        <v>0</v>
      </c>
      <c r="G21" s="1" t="n">
        <v>1</v>
      </c>
      <c r="H21" s="1" t="n">
        <v>6</v>
      </c>
      <c r="I21" s="1" t="n">
        <v>8</v>
      </c>
      <c r="J21" s="1" t="n">
        <v>1</v>
      </c>
      <c r="K21" s="1" t="n">
        <v>0.203</v>
      </c>
      <c r="L21" s="1" t="n">
        <v>0.336</v>
      </c>
      <c r="M21" s="1" t="n">
        <v>0.345</v>
      </c>
      <c r="N21" s="1" t="n">
        <v>0.672</v>
      </c>
      <c r="O21" s="1" t="n">
        <f aca="false">3+1+1+2+4+4</f>
        <v>15</v>
      </c>
      <c r="P21" s="1" t="n">
        <v>-0.1</v>
      </c>
      <c r="Q21" s="1" t="n">
        <v>0.642</v>
      </c>
      <c r="R21" s="1" t="n">
        <v>12.7</v>
      </c>
    </row>
    <row r="22" customFormat="false" ht="12.75" hidden="false" customHeight="false" outlineLevel="0" collapsed="false">
      <c r="A22" s="1" t="s">
        <v>43</v>
      </c>
      <c r="B22" s="1" t="n">
        <v>2</v>
      </c>
      <c r="D22" s="1" t="n">
        <v>0.788</v>
      </c>
      <c r="E22" s="1" t="n">
        <v>8</v>
      </c>
      <c r="F22" s="1" t="n">
        <v>1</v>
      </c>
      <c r="G22" s="1" t="n">
        <v>0</v>
      </c>
      <c r="H22" s="1" t="n">
        <v>2</v>
      </c>
      <c r="I22" s="1" t="n">
        <v>2</v>
      </c>
      <c r="J22" s="1" t="n">
        <v>3</v>
      </c>
      <c r="K22" s="1" t="n">
        <v>0.195</v>
      </c>
      <c r="L22" s="1" t="n">
        <v>0.331</v>
      </c>
      <c r="M22" s="1" t="n">
        <v>0.404</v>
      </c>
      <c r="N22" s="1" t="n">
        <v>0.681</v>
      </c>
      <c r="O22" s="1" t="n">
        <f aca="false">1+4+3+4+2+1</f>
        <v>15</v>
      </c>
      <c r="P22" s="1" t="n">
        <v>19.2</v>
      </c>
      <c r="Q22" s="1" t="n">
        <v>0.833</v>
      </c>
      <c r="R22" s="1" t="n">
        <v>0.3</v>
      </c>
    </row>
    <row r="23" customFormat="false" ht="12.75" hidden="false" customHeight="false" outlineLevel="0" collapsed="false">
      <c r="A23" s="1" t="s">
        <v>187</v>
      </c>
      <c r="B23" s="1" t="n">
        <v>0</v>
      </c>
      <c r="D23" s="1" t="n">
        <v>0.781</v>
      </c>
      <c r="E23" s="1" t="n">
        <v>8</v>
      </c>
      <c r="F23" s="1" t="n">
        <v>1</v>
      </c>
      <c r="G23" s="1" t="n">
        <v>0</v>
      </c>
      <c r="H23" s="1" t="n">
        <v>1</v>
      </c>
      <c r="I23" s="1" t="n">
        <v>1</v>
      </c>
      <c r="J23" s="1" t="n">
        <v>1</v>
      </c>
      <c r="K23" s="1" t="n">
        <v>0.2115</v>
      </c>
      <c r="L23" s="1" t="n">
        <v>0.372</v>
      </c>
      <c r="M23" s="1" t="n">
        <v>0.348</v>
      </c>
      <c r="N23" s="1" t="n">
        <v>0.684</v>
      </c>
      <c r="O23" s="1" t="n">
        <f aca="false">4+4+3+4+2+2</f>
        <v>19</v>
      </c>
      <c r="P23" s="1" t="n">
        <v>9.7</v>
      </c>
      <c r="Q23" s="1" t="n">
        <v>0.666</v>
      </c>
      <c r="R23" s="1" t="n">
        <v>-10.6</v>
      </c>
    </row>
    <row r="24" customFormat="false" ht="12.75" hidden="false" customHeight="false" outlineLevel="0" collapsed="false">
      <c r="A24" s="1" t="s">
        <v>188</v>
      </c>
      <c r="B24" s="1" t="n">
        <v>0</v>
      </c>
      <c r="D24" s="1" t="n">
        <v>0.548</v>
      </c>
      <c r="E24" s="1" t="n">
        <v>7</v>
      </c>
      <c r="F24" s="1" t="n">
        <v>1</v>
      </c>
      <c r="G24" s="1" t="n">
        <v>0</v>
      </c>
      <c r="H24" s="1" t="n">
        <v>3</v>
      </c>
      <c r="I24" s="1" t="n">
        <v>4</v>
      </c>
      <c r="J24" s="1" t="n">
        <v>1</v>
      </c>
      <c r="K24" s="1" t="n">
        <v>0.2245</v>
      </c>
      <c r="L24" s="1" t="n">
        <v>0.34</v>
      </c>
      <c r="M24" s="1" t="n">
        <v>0.349</v>
      </c>
      <c r="N24" s="1" t="n">
        <v>0.725</v>
      </c>
      <c r="O24" s="1" t="n">
        <f aca="false">2+3+2+1+3+1</f>
        <v>12</v>
      </c>
      <c r="P24" s="1" t="n">
        <v>-0.5</v>
      </c>
      <c r="Q24" s="1" t="n">
        <v>0.6</v>
      </c>
      <c r="R24" s="1" t="n">
        <v>7.1</v>
      </c>
    </row>
    <row r="25" customFormat="false" ht="12.75" hidden="false" customHeight="false" outlineLevel="0" collapsed="false">
      <c r="A25" s="1" t="s">
        <v>600</v>
      </c>
      <c r="B25" s="1" t="n">
        <v>0</v>
      </c>
      <c r="D25" s="1" t="n">
        <v>0.839</v>
      </c>
      <c r="E25" s="1" t="n">
        <v>9</v>
      </c>
      <c r="F25" s="1" t="n">
        <v>1</v>
      </c>
      <c r="G25" s="1" t="n">
        <v>0</v>
      </c>
      <c r="H25" s="1" t="n">
        <v>0</v>
      </c>
      <c r="I25" s="1" t="n">
        <v>2</v>
      </c>
      <c r="J25" s="1" t="n">
        <v>2</v>
      </c>
      <c r="K25" s="1" t="n">
        <v>0.239</v>
      </c>
      <c r="L25" s="1" t="n">
        <v>0.329</v>
      </c>
      <c r="M25" s="1" t="n">
        <v>0.332</v>
      </c>
      <c r="N25" s="1" t="n">
        <v>0.647</v>
      </c>
      <c r="O25" s="1" t="n">
        <f aca="false">4+4+2+4+3+2</f>
        <v>19</v>
      </c>
      <c r="P25" s="1" t="n">
        <v>15.1</v>
      </c>
      <c r="Q25" s="1" t="n">
        <v>0.428</v>
      </c>
      <c r="R25" s="1" t="n">
        <v>-5.5</v>
      </c>
    </row>
    <row r="26" customFormat="false" ht="12.75" hidden="false" customHeight="false" outlineLevel="0" collapsed="false">
      <c r="A26" s="1" t="s">
        <v>189</v>
      </c>
      <c r="B26" s="1" t="n">
        <v>0</v>
      </c>
      <c r="D26" s="1" t="n">
        <v>0.733</v>
      </c>
      <c r="E26" s="1" t="n">
        <v>7</v>
      </c>
      <c r="F26" s="1" t="n">
        <v>1</v>
      </c>
      <c r="G26" s="1" t="n">
        <v>0</v>
      </c>
      <c r="H26" s="1" t="n">
        <v>0</v>
      </c>
      <c r="I26" s="1" t="n">
        <v>3</v>
      </c>
      <c r="J26" s="1" t="n">
        <v>1</v>
      </c>
      <c r="K26" s="1" t="n">
        <v>0.233</v>
      </c>
      <c r="L26" s="1" t="n">
        <v>0.35</v>
      </c>
      <c r="M26" s="1" t="n">
        <v>0.351</v>
      </c>
      <c r="N26" s="1" t="n">
        <v>0.657</v>
      </c>
      <c r="O26" s="1" t="n">
        <f aca="false">4+3+4+2+1+4</f>
        <v>18</v>
      </c>
      <c r="P26" s="1" t="n">
        <v>8.2</v>
      </c>
      <c r="Q26" s="1" t="n">
        <v>0.5</v>
      </c>
      <c r="R26" s="1" t="n">
        <v>-5.8</v>
      </c>
    </row>
    <row r="27" customFormat="false" ht="12.75" hidden="false" customHeight="false" outlineLevel="0" collapsed="false">
      <c r="A27" s="1" t="s">
        <v>363</v>
      </c>
      <c r="B27" s="1" t="n">
        <v>3</v>
      </c>
      <c r="D27" s="1" t="n">
        <v>0.771</v>
      </c>
      <c r="E27" s="1" t="n">
        <v>7</v>
      </c>
      <c r="F27" s="1" t="n">
        <v>0</v>
      </c>
      <c r="G27" s="1" t="n">
        <v>1</v>
      </c>
      <c r="H27" s="1" t="n">
        <v>9</v>
      </c>
      <c r="I27" s="1" t="n">
        <v>7</v>
      </c>
      <c r="J27" s="1" t="n">
        <v>1</v>
      </c>
      <c r="K27" s="1" t="n">
        <v>0.215</v>
      </c>
      <c r="L27" s="1" t="n">
        <v>0.339</v>
      </c>
      <c r="M27" s="1" t="n">
        <v>0.364</v>
      </c>
      <c r="N27" s="1" t="n">
        <v>0.705</v>
      </c>
      <c r="O27" s="1" t="n">
        <f aca="false">2+3+4+2+2+2</f>
        <v>15</v>
      </c>
      <c r="P27" s="1" t="n">
        <v>16.6</v>
      </c>
      <c r="Q27" s="1" t="n">
        <v>0.444</v>
      </c>
      <c r="R27" s="1" t="n">
        <v>11.4</v>
      </c>
    </row>
    <row r="28" customFormat="false" ht="12.75" hidden="false" customHeight="false" outlineLevel="0" collapsed="false">
      <c r="A28" s="1" t="s">
        <v>458</v>
      </c>
      <c r="B28" s="1" t="n">
        <v>1</v>
      </c>
      <c r="D28" s="1" t="n">
        <v>0.647</v>
      </c>
      <c r="E28" s="1" t="n">
        <v>5</v>
      </c>
      <c r="F28" s="1" t="n">
        <v>1</v>
      </c>
      <c r="G28" s="1" t="n">
        <v>0</v>
      </c>
      <c r="H28" s="1" t="n">
        <v>3</v>
      </c>
      <c r="I28" s="1" t="n">
        <v>3</v>
      </c>
      <c r="J28" s="1" t="n">
        <v>2</v>
      </c>
      <c r="K28" s="1" t="n">
        <v>0.198</v>
      </c>
      <c r="L28" s="1" t="n">
        <v>0.31</v>
      </c>
      <c r="M28" s="1" t="n">
        <v>0.359</v>
      </c>
      <c r="N28" s="1" t="n">
        <v>0.705</v>
      </c>
      <c r="O28" s="1" t="n">
        <f aca="false">4+4+3+3+1+3</f>
        <v>18</v>
      </c>
      <c r="P28" s="1" t="n">
        <v>7.6</v>
      </c>
      <c r="Q28" s="1" t="n">
        <v>0.5</v>
      </c>
      <c r="R28" s="1" t="n">
        <v>2.5</v>
      </c>
    </row>
    <row r="29" customFormat="false" ht="12.75" hidden="false" customHeight="false" outlineLevel="0" collapsed="false">
      <c r="A29" s="1" t="s">
        <v>190</v>
      </c>
      <c r="B29" s="1" t="n">
        <v>0</v>
      </c>
      <c r="D29" s="1" t="n">
        <v>0.618</v>
      </c>
      <c r="E29" s="1" t="n">
        <v>6</v>
      </c>
      <c r="F29" s="1" t="n">
        <v>0</v>
      </c>
      <c r="G29" s="1" t="n">
        <v>1</v>
      </c>
      <c r="H29" s="1" t="n">
        <v>9</v>
      </c>
      <c r="I29" s="1" t="n">
        <v>10</v>
      </c>
      <c r="J29" s="1" t="n">
        <v>2</v>
      </c>
      <c r="K29" s="1" t="n">
        <v>0.21</v>
      </c>
      <c r="L29" s="1" t="n">
        <v>0.306</v>
      </c>
      <c r="M29" s="1" t="n">
        <v>0.362</v>
      </c>
      <c r="N29" s="1" t="n">
        <v>0.636</v>
      </c>
      <c r="O29" s="1" t="n">
        <f aca="false">2+3+1+3+2+2</f>
        <v>13</v>
      </c>
      <c r="P29" s="1" t="n">
        <v>9.3</v>
      </c>
      <c r="Q29" s="1" t="n">
        <v>0.416</v>
      </c>
      <c r="R29" s="1" t="n">
        <v>11</v>
      </c>
    </row>
    <row r="30" customFormat="false" ht="12.75" hidden="false" customHeight="false" outlineLevel="0" collapsed="false">
      <c r="A30" s="1" t="s">
        <v>87</v>
      </c>
      <c r="B30" s="1" t="n">
        <v>0</v>
      </c>
      <c r="D30" s="1" t="n">
        <v>0.667</v>
      </c>
      <c r="E30" s="1" t="n">
        <v>5</v>
      </c>
      <c r="F30" s="1" t="n">
        <v>1</v>
      </c>
      <c r="G30" s="1" t="n">
        <v>0</v>
      </c>
      <c r="H30" s="1" t="n">
        <v>1</v>
      </c>
      <c r="I30" s="1" t="n">
        <v>0</v>
      </c>
      <c r="J30" s="1" t="n">
        <v>2</v>
      </c>
      <c r="K30" s="1" t="n">
        <v>0.2225</v>
      </c>
      <c r="L30" s="1" t="n">
        <v>0.331</v>
      </c>
      <c r="M30" s="1" t="n">
        <v>0.383</v>
      </c>
      <c r="N30" s="1" t="n">
        <v>0.689</v>
      </c>
      <c r="O30" s="1" t="n">
        <f aca="false">3+4+4+1+4+1</f>
        <v>17</v>
      </c>
      <c r="P30" s="1" t="n">
        <v>7.1</v>
      </c>
      <c r="Q30" s="1" t="n">
        <v>0.3</v>
      </c>
      <c r="R30" s="1" t="n">
        <v>-4.1</v>
      </c>
    </row>
    <row r="31" customFormat="false" ht="12.75" hidden="false" customHeight="false" outlineLevel="0" collapsed="false">
      <c r="A31" s="1" t="s">
        <v>192</v>
      </c>
      <c r="B31" s="1" t="n">
        <v>0</v>
      </c>
      <c r="D31" s="1" t="n">
        <v>0.806</v>
      </c>
      <c r="E31" s="1" t="n">
        <v>7</v>
      </c>
      <c r="F31" s="1" t="n">
        <v>0</v>
      </c>
      <c r="G31" s="1" t="n">
        <v>1</v>
      </c>
      <c r="H31" s="1" t="n">
        <v>6</v>
      </c>
      <c r="I31" s="1" t="n">
        <v>4</v>
      </c>
      <c r="J31" s="1" t="n">
        <v>2</v>
      </c>
      <c r="K31" s="1" t="n">
        <v>0.203</v>
      </c>
      <c r="L31" s="1" t="n">
        <v>0.307</v>
      </c>
      <c r="M31" s="1" t="n">
        <v>0.417</v>
      </c>
      <c r="N31" s="1" t="n">
        <v>0.728</v>
      </c>
      <c r="O31" s="1" t="n">
        <f aca="false">2+2+1+4+4+1</f>
        <v>14</v>
      </c>
      <c r="P31" s="1" t="n">
        <v>15.1</v>
      </c>
      <c r="Q31" s="1" t="n">
        <v>0.714</v>
      </c>
      <c r="R31" s="1" t="n">
        <v>4.9</v>
      </c>
    </row>
    <row r="32" customFormat="false" ht="12.75" hidden="false" customHeight="false" outlineLevel="0" collapsed="false">
      <c r="A32" s="1" t="s">
        <v>191</v>
      </c>
      <c r="B32" s="1" t="n">
        <v>1</v>
      </c>
      <c r="D32" s="1" t="n">
        <v>0.657</v>
      </c>
      <c r="E32" s="1" t="n">
        <v>6</v>
      </c>
      <c r="F32" s="1" t="n">
        <v>1</v>
      </c>
      <c r="G32" s="1" t="n">
        <v>1</v>
      </c>
      <c r="H32" s="1" t="n">
        <v>9</v>
      </c>
      <c r="I32" s="1" t="n">
        <v>7</v>
      </c>
      <c r="J32" s="1" t="n">
        <v>2</v>
      </c>
      <c r="K32" s="1" t="n">
        <v>0.205</v>
      </c>
      <c r="L32" s="1" t="n">
        <v>0.338</v>
      </c>
      <c r="M32" s="1" t="n">
        <v>0.366</v>
      </c>
      <c r="N32" s="1" t="n">
        <v>0.705</v>
      </c>
      <c r="O32" s="1" t="n">
        <f aca="false">4+1+1+3+3+1</f>
        <v>13</v>
      </c>
      <c r="P32" s="1" t="n">
        <v>5</v>
      </c>
      <c r="Q32" s="1" t="n">
        <v>0.666</v>
      </c>
      <c r="R32" s="1" t="n">
        <v>10.7</v>
      </c>
    </row>
    <row r="33" customFormat="false" ht="12.75" hidden="false" customHeight="false" outlineLevel="0" collapsed="false">
      <c r="A33" s="1" t="s">
        <v>71</v>
      </c>
      <c r="B33" s="1" t="n">
        <v>2</v>
      </c>
      <c r="D33" s="1" t="n">
        <v>0.788</v>
      </c>
      <c r="E33" s="1" t="n">
        <v>7</v>
      </c>
      <c r="F33" s="1" t="n">
        <v>0</v>
      </c>
      <c r="G33" s="1" t="n">
        <v>1</v>
      </c>
      <c r="H33" s="1" t="n">
        <v>6</v>
      </c>
      <c r="I33" s="1" t="n">
        <v>5</v>
      </c>
      <c r="J33" s="1" t="n">
        <v>3</v>
      </c>
      <c r="K33" s="1" t="n">
        <v>0.2085</v>
      </c>
      <c r="L33" s="1" t="n">
        <v>0.35</v>
      </c>
      <c r="M33" s="1" t="n">
        <v>0.394</v>
      </c>
      <c r="N33" s="1" t="n">
        <v>0.659</v>
      </c>
      <c r="O33" s="1" t="n">
        <f aca="false">3+2+4+2+2+4</f>
        <v>17</v>
      </c>
      <c r="P33" s="1" t="n">
        <v>17.1</v>
      </c>
      <c r="Q33" s="1" t="n">
        <v>0.6</v>
      </c>
      <c r="R33" s="1" t="n">
        <v>9</v>
      </c>
    </row>
    <row r="34" customFormat="false" ht="12.75" hidden="false" customHeight="false" outlineLevel="0" collapsed="false">
      <c r="A34" s="1" t="s">
        <v>550</v>
      </c>
      <c r="B34" s="1" t="n">
        <v>1</v>
      </c>
      <c r="D34" s="1" t="n">
        <v>0.706</v>
      </c>
      <c r="E34" s="1" t="n">
        <v>7</v>
      </c>
      <c r="F34" s="1" t="n">
        <v>1</v>
      </c>
      <c r="G34" s="1" t="n">
        <v>0</v>
      </c>
      <c r="H34" s="1" t="n">
        <v>0</v>
      </c>
      <c r="I34" s="1" t="n">
        <v>2</v>
      </c>
      <c r="J34" s="1" t="n">
        <v>2</v>
      </c>
      <c r="K34" s="1" t="n">
        <v>0.2005</v>
      </c>
      <c r="L34" s="1" t="n">
        <v>0.349</v>
      </c>
      <c r="M34" s="1" t="n">
        <v>0.349</v>
      </c>
      <c r="N34" s="1" t="n">
        <v>0.763</v>
      </c>
      <c r="O34" s="1" t="n">
        <f aca="false">3+3+4+3+3+4</f>
        <v>20</v>
      </c>
      <c r="P34" s="1" t="n">
        <v>12.3</v>
      </c>
      <c r="Q34" s="1" t="n">
        <v>0.375</v>
      </c>
      <c r="R34" s="1" t="n">
        <v>1.4</v>
      </c>
    </row>
    <row r="35" customFormat="false" ht="12.75" hidden="false" customHeight="false" outlineLevel="0" collapsed="false">
      <c r="A35" s="1" t="s">
        <v>24</v>
      </c>
      <c r="B35" s="1" t="n">
        <v>2</v>
      </c>
      <c r="D35" s="1" t="n">
        <v>0.706</v>
      </c>
      <c r="E35" s="1" t="n">
        <v>7</v>
      </c>
      <c r="F35" s="1" t="n">
        <v>1</v>
      </c>
      <c r="G35" s="1" t="n">
        <v>1</v>
      </c>
      <c r="H35" s="1" t="n">
        <v>10</v>
      </c>
      <c r="I35" s="1" t="n">
        <v>7</v>
      </c>
      <c r="J35" s="1" t="n">
        <v>3</v>
      </c>
      <c r="K35" s="1" t="n">
        <v>0.2155</v>
      </c>
      <c r="L35" s="1" t="n">
        <v>0.379</v>
      </c>
      <c r="M35" s="1" t="n">
        <v>0.346</v>
      </c>
      <c r="N35" s="1" t="n">
        <v>0.655</v>
      </c>
      <c r="O35" s="1" t="n">
        <f aca="false">3+2+4+1+1+2</f>
        <v>13</v>
      </c>
      <c r="P35" s="1" t="n">
        <v>12.7</v>
      </c>
      <c r="Q35" s="1" t="n">
        <v>0.416</v>
      </c>
      <c r="R35" s="1" t="n">
        <v>11.07</v>
      </c>
    </row>
    <row r="36" customFormat="false" ht="12.75" hidden="false" customHeight="false" outlineLevel="0" collapsed="false">
      <c r="A36" s="1" t="s">
        <v>111</v>
      </c>
      <c r="B36" s="1" t="n">
        <v>4</v>
      </c>
      <c r="D36" s="1" t="n">
        <v>0.694</v>
      </c>
      <c r="E36" s="1" t="n">
        <v>8</v>
      </c>
      <c r="F36" s="1" t="n">
        <v>0</v>
      </c>
      <c r="G36" s="1" t="n">
        <v>1</v>
      </c>
      <c r="H36" s="1" t="n">
        <v>8</v>
      </c>
      <c r="I36" s="1" t="n">
        <v>9</v>
      </c>
      <c r="J36" s="1" t="n">
        <v>3</v>
      </c>
      <c r="K36" s="1" t="n">
        <v>0.207</v>
      </c>
      <c r="L36" s="1" t="n">
        <v>0.378</v>
      </c>
      <c r="M36" s="1" t="n">
        <v>0.38</v>
      </c>
      <c r="N36" s="1" t="n">
        <v>0.696</v>
      </c>
      <c r="O36" s="1" t="n">
        <f aca="false">3+2+4+3+3+3</f>
        <v>18</v>
      </c>
      <c r="P36" s="1" t="n">
        <v>17.1</v>
      </c>
      <c r="Q36" s="1" t="n">
        <v>0.166</v>
      </c>
      <c r="R36" s="1" t="n">
        <v>11</v>
      </c>
    </row>
    <row r="37" customFormat="false" ht="12.75" hidden="false" customHeight="false" outlineLevel="0" collapsed="false">
      <c r="A37" s="1" t="s">
        <v>194</v>
      </c>
      <c r="B37" s="1" t="n">
        <v>4</v>
      </c>
      <c r="D37" s="1" t="n">
        <v>0.848</v>
      </c>
      <c r="E37" s="1" t="n">
        <v>8</v>
      </c>
      <c r="F37" s="1" t="n">
        <v>0</v>
      </c>
      <c r="G37" s="1" t="n">
        <v>1</v>
      </c>
      <c r="H37" s="1" t="n">
        <v>10</v>
      </c>
      <c r="I37" s="1" t="n">
        <v>4</v>
      </c>
      <c r="J37" s="1" t="n">
        <v>3</v>
      </c>
      <c r="K37" s="1" t="n">
        <v>0.199</v>
      </c>
      <c r="L37" s="1" t="n">
        <v>0.361</v>
      </c>
      <c r="M37" s="1" t="n">
        <v>0.322</v>
      </c>
      <c r="N37" s="1" t="n">
        <v>0.719</v>
      </c>
      <c r="O37" s="1" t="n">
        <f aca="false">4+4+2+4+1+1</f>
        <v>16</v>
      </c>
      <c r="P37" s="1" t="n">
        <v>23.2</v>
      </c>
      <c r="Q37" s="1" t="n">
        <v>0.5</v>
      </c>
      <c r="R37" s="1" t="n">
        <v>9.5</v>
      </c>
    </row>
    <row r="38" customFormat="false" ht="12.75" hidden="false" customHeight="false" outlineLevel="0" collapsed="false">
      <c r="A38" s="1" t="s">
        <v>601</v>
      </c>
      <c r="B38" s="1" t="n">
        <v>2</v>
      </c>
      <c r="D38" s="1" t="n">
        <v>0.771</v>
      </c>
      <c r="E38" s="1" t="n">
        <v>6</v>
      </c>
      <c r="F38" s="1" t="n">
        <v>0</v>
      </c>
      <c r="G38" s="1" t="n">
        <v>1</v>
      </c>
      <c r="H38" s="1" t="n">
        <v>8</v>
      </c>
      <c r="I38" s="1" t="n">
        <v>4</v>
      </c>
      <c r="J38" s="1" t="n">
        <v>2</v>
      </c>
      <c r="K38" s="1" t="n">
        <v>0.211</v>
      </c>
      <c r="L38" s="1" t="n">
        <v>0.372</v>
      </c>
      <c r="M38" s="1" t="n">
        <v>0.342</v>
      </c>
      <c r="N38" s="1" t="n">
        <v>0.654</v>
      </c>
      <c r="O38" s="1" t="n">
        <v>15</v>
      </c>
      <c r="P38" s="1" t="n">
        <v>6.1</v>
      </c>
      <c r="Q38" s="1" t="n">
        <f aca="false">4/9</f>
        <v>0.4444444444</v>
      </c>
      <c r="R38" s="1" t="n">
        <v>9.2</v>
      </c>
    </row>
    <row r="39" customFormat="false" ht="12.75" hidden="false" customHeight="false" outlineLevel="0" collapsed="false">
      <c r="A39" s="1" t="s">
        <v>39</v>
      </c>
      <c r="B39" s="1" t="n">
        <v>1</v>
      </c>
      <c r="D39" s="1" t="n">
        <v>0.606</v>
      </c>
      <c r="E39" s="1" t="n">
        <v>5</v>
      </c>
      <c r="F39" s="1" t="n">
        <v>0</v>
      </c>
      <c r="G39" s="1" t="n">
        <v>1</v>
      </c>
      <c r="H39" s="1" t="n">
        <v>3</v>
      </c>
      <c r="I39" s="1" t="n">
        <v>10</v>
      </c>
      <c r="J39" s="1" t="n">
        <v>3</v>
      </c>
      <c r="K39" s="1" t="n">
        <v>0.209</v>
      </c>
      <c r="L39" s="1" t="n">
        <v>0.364</v>
      </c>
      <c r="M39" s="1" t="n">
        <v>0.38</v>
      </c>
      <c r="N39" s="1" t="n">
        <v>0.701</v>
      </c>
      <c r="O39" s="1" t="n">
        <f aca="false">3+4+2+1+2+1</f>
        <v>13</v>
      </c>
      <c r="P39" s="1" t="n">
        <v>3.8</v>
      </c>
      <c r="Q39" s="1" t="n">
        <v>0.583</v>
      </c>
      <c r="R39" s="1" t="n">
        <v>9.2</v>
      </c>
    </row>
    <row r="40" customFormat="false" ht="12.75" hidden="false" customHeight="false" outlineLevel="0" collapsed="false">
      <c r="A40" s="1" t="s">
        <v>551</v>
      </c>
      <c r="B40" s="1" t="n">
        <v>0</v>
      </c>
      <c r="D40" s="1" t="n">
        <v>0.677</v>
      </c>
      <c r="E40" s="1" t="n">
        <v>8</v>
      </c>
      <c r="F40" s="1" t="n">
        <v>1</v>
      </c>
      <c r="G40" s="1" t="n">
        <v>0</v>
      </c>
      <c r="H40" s="1" t="n">
        <v>1</v>
      </c>
      <c r="I40" s="1" t="n">
        <v>1</v>
      </c>
      <c r="J40" s="1" t="n">
        <v>1</v>
      </c>
      <c r="K40" s="1" t="n">
        <v>0.239</v>
      </c>
      <c r="L40" s="1" t="n">
        <v>0.313</v>
      </c>
      <c r="M40" s="1" t="n">
        <v>0.353</v>
      </c>
      <c r="N40" s="1" t="n">
        <v>0.689</v>
      </c>
      <c r="O40" s="1" t="n">
        <f aca="false">2+2+2+2+1+1</f>
        <v>10</v>
      </c>
      <c r="P40" s="1" t="n">
        <v>7.2</v>
      </c>
      <c r="Q40" s="1" t="n">
        <v>0.555</v>
      </c>
      <c r="R40" s="1" t="n">
        <v>-7.7</v>
      </c>
    </row>
    <row r="41" customFormat="false" ht="12.75" hidden="false" customHeight="false" outlineLevel="0" collapsed="false">
      <c r="A41" s="1" t="s">
        <v>51</v>
      </c>
      <c r="B41" s="1" t="n">
        <v>1</v>
      </c>
      <c r="D41" s="1" t="n">
        <v>0.788</v>
      </c>
      <c r="E41" s="1" t="n">
        <v>5</v>
      </c>
      <c r="F41" s="1" t="n">
        <v>0</v>
      </c>
      <c r="G41" s="1" t="n">
        <v>1</v>
      </c>
      <c r="H41" s="1" t="n">
        <v>14</v>
      </c>
      <c r="I41" s="1" t="n">
        <v>6</v>
      </c>
      <c r="J41" s="1" t="n">
        <v>3</v>
      </c>
      <c r="K41" s="1" t="n">
        <v>0.1965</v>
      </c>
      <c r="L41" s="1" t="n">
        <v>0.34</v>
      </c>
      <c r="M41" s="1" t="n">
        <v>0.364</v>
      </c>
      <c r="N41" s="1" t="n">
        <v>0.67</v>
      </c>
      <c r="O41" s="1" t="n">
        <f aca="false">2+3+4+3+2+2</f>
        <v>16</v>
      </c>
      <c r="P41" s="1" t="n">
        <v>11</v>
      </c>
      <c r="Q41" s="1" t="n">
        <v>1</v>
      </c>
      <c r="R41" s="1" t="n">
        <v>11.8</v>
      </c>
    </row>
    <row r="42" customFormat="false" ht="12.75" hidden="false" customHeight="false" outlineLevel="0" collapsed="false">
      <c r="A42" s="1" t="s">
        <v>602</v>
      </c>
      <c r="B42" s="1" t="n">
        <v>0</v>
      </c>
      <c r="D42" s="1" t="n">
        <v>0.613</v>
      </c>
      <c r="E42" s="1" t="n">
        <v>6</v>
      </c>
      <c r="F42" s="1" t="n">
        <v>1</v>
      </c>
      <c r="G42" s="1" t="n">
        <v>0</v>
      </c>
      <c r="H42" s="1" t="n">
        <v>2</v>
      </c>
      <c r="I42" s="1" t="n">
        <v>1</v>
      </c>
      <c r="J42" s="1" t="n">
        <v>1</v>
      </c>
      <c r="K42" s="1" t="n">
        <v>0.2235</v>
      </c>
      <c r="L42" s="1" t="n">
        <v>0.352</v>
      </c>
      <c r="M42" s="1" t="n">
        <v>0.383</v>
      </c>
      <c r="N42" s="1" t="n">
        <v>0.769</v>
      </c>
      <c r="O42" s="1" t="n">
        <v>13</v>
      </c>
      <c r="P42" s="1" t="n">
        <v>2.4</v>
      </c>
      <c r="Q42" s="1" t="n">
        <f aca="false">9/13</f>
        <v>0.6923076923</v>
      </c>
      <c r="R42" s="1" t="n">
        <v>-5.9</v>
      </c>
    </row>
    <row r="43" customFormat="false" ht="12.75" hidden="false" customHeight="false" outlineLevel="0" collapsed="false">
      <c r="A43" s="1" t="s">
        <v>372</v>
      </c>
      <c r="B43" s="1" t="n">
        <v>0</v>
      </c>
      <c r="D43" s="1" t="n">
        <v>0.594</v>
      </c>
      <c r="E43" s="1" t="n">
        <v>6</v>
      </c>
      <c r="F43" s="1" t="n">
        <v>1</v>
      </c>
      <c r="G43" s="1" t="n">
        <v>0</v>
      </c>
      <c r="H43" s="1" t="n">
        <v>0</v>
      </c>
      <c r="I43" s="1" t="n">
        <v>2</v>
      </c>
      <c r="J43" s="1" t="n">
        <v>1</v>
      </c>
      <c r="K43" s="1" t="n">
        <v>0.2325</v>
      </c>
      <c r="L43" s="1" t="n">
        <v>0.339</v>
      </c>
      <c r="M43" s="1" t="n">
        <v>0.318</v>
      </c>
      <c r="N43" s="1" t="n">
        <v>0.662</v>
      </c>
      <c r="O43" s="1" t="n">
        <v>18</v>
      </c>
      <c r="P43" s="1" t="n">
        <v>-4.3</v>
      </c>
      <c r="Q43" s="1" t="n">
        <v>0.888</v>
      </c>
      <c r="R43" s="1" t="n">
        <v>-7.8</v>
      </c>
    </row>
    <row r="44" customFormat="false" ht="12.75" hidden="false" customHeight="false" outlineLevel="0" collapsed="false">
      <c r="A44" s="1" t="s">
        <v>121</v>
      </c>
      <c r="B44" s="1" t="n">
        <v>1</v>
      </c>
      <c r="D44" s="1" t="n">
        <v>0.667</v>
      </c>
      <c r="E44" s="1" t="n">
        <v>5</v>
      </c>
      <c r="F44" s="1" t="n">
        <v>0</v>
      </c>
      <c r="G44" s="1" t="n">
        <v>1</v>
      </c>
      <c r="H44" s="1" t="n">
        <v>6</v>
      </c>
      <c r="I44" s="1" t="n">
        <v>4</v>
      </c>
      <c r="J44" s="1" t="n">
        <v>1</v>
      </c>
      <c r="K44" s="1" t="n">
        <v>0.193</v>
      </c>
      <c r="L44" s="1" t="n">
        <v>0.352</v>
      </c>
      <c r="M44" s="1" t="n">
        <v>0.384</v>
      </c>
      <c r="N44" s="1" t="n">
        <v>0.688</v>
      </c>
      <c r="O44" s="1" t="n">
        <f aca="false">4+3+2+3+3+3</f>
        <v>18</v>
      </c>
      <c r="P44" s="1" t="n">
        <v>12</v>
      </c>
      <c r="Q44" s="1" t="n">
        <v>0.6</v>
      </c>
      <c r="R44" s="1" t="n">
        <v>5.7</v>
      </c>
    </row>
    <row r="45" customFormat="false" ht="12.75" hidden="false" customHeight="false" outlineLevel="0" collapsed="false">
      <c r="A45" s="1" t="s">
        <v>41</v>
      </c>
      <c r="B45" s="1" t="n">
        <v>0</v>
      </c>
      <c r="D45" s="1" t="n">
        <v>0.645</v>
      </c>
      <c r="E45" s="1" t="n">
        <v>7</v>
      </c>
      <c r="F45" s="1" t="n">
        <v>0</v>
      </c>
      <c r="G45" s="1" t="n">
        <v>1</v>
      </c>
      <c r="H45" s="1" t="n">
        <v>6</v>
      </c>
      <c r="I45" s="1" t="n">
        <v>8</v>
      </c>
      <c r="J45" s="1" t="n">
        <v>3</v>
      </c>
      <c r="K45" s="1" t="n">
        <v>0.212</v>
      </c>
      <c r="L45" s="1" t="n">
        <v>0.351</v>
      </c>
      <c r="M45" s="1" t="n">
        <v>0.381</v>
      </c>
      <c r="N45" s="1" t="n">
        <v>0.699</v>
      </c>
      <c r="O45" s="1" t="n">
        <f aca="false">3+3+4+2+2+1</f>
        <v>15</v>
      </c>
      <c r="P45" s="1" t="n">
        <v>11.2</v>
      </c>
      <c r="Q45" s="1" t="n">
        <v>0.6</v>
      </c>
      <c r="R45" s="1" t="n">
        <v>8.2</v>
      </c>
    </row>
    <row r="46" customFormat="false" ht="12.75" hidden="false" customHeight="false" outlineLevel="0" collapsed="false">
      <c r="A46" s="1" t="s">
        <v>258</v>
      </c>
      <c r="B46" s="1" t="n">
        <v>0</v>
      </c>
      <c r="D46" s="1" t="n">
        <v>0.667</v>
      </c>
      <c r="E46" s="1" t="n">
        <v>6</v>
      </c>
      <c r="F46" s="1" t="n">
        <v>0</v>
      </c>
      <c r="G46" s="1" t="n">
        <v>1</v>
      </c>
      <c r="H46" s="1" t="n">
        <v>5</v>
      </c>
      <c r="I46" s="1" t="n">
        <v>5</v>
      </c>
      <c r="J46" s="1" t="n">
        <v>3</v>
      </c>
      <c r="K46" s="1" t="n">
        <v>0.237</v>
      </c>
      <c r="L46" s="1" t="n">
        <v>0.331</v>
      </c>
      <c r="M46" s="1" t="n">
        <v>0.327</v>
      </c>
      <c r="N46" s="1" t="n">
        <v>0.633</v>
      </c>
      <c r="O46" s="1" t="n">
        <f aca="false">1+3+2+1+2+1</f>
        <v>10</v>
      </c>
      <c r="P46" s="1" t="n">
        <v>9</v>
      </c>
      <c r="Q46" s="1" t="n">
        <v>0.571</v>
      </c>
      <c r="R46" s="1" t="n">
        <v>4.7</v>
      </c>
    </row>
    <row r="47" customFormat="false" ht="12.75" hidden="false" customHeight="false" outlineLevel="0" collapsed="false">
      <c r="A47" s="1" t="s">
        <v>85</v>
      </c>
      <c r="B47" s="1" t="n">
        <v>0</v>
      </c>
      <c r="D47" s="1" t="n">
        <v>0.788</v>
      </c>
      <c r="E47" s="1" t="n">
        <v>7</v>
      </c>
      <c r="F47" s="1" t="n">
        <v>1</v>
      </c>
      <c r="G47" s="1" t="n">
        <v>1</v>
      </c>
      <c r="H47" s="1" t="n">
        <v>8</v>
      </c>
      <c r="I47" s="1" t="n">
        <v>5</v>
      </c>
      <c r="J47" s="1" t="n">
        <v>3</v>
      </c>
      <c r="K47" s="1" t="n">
        <v>0.2185</v>
      </c>
      <c r="L47" s="1" t="n">
        <v>0.335</v>
      </c>
      <c r="M47" s="1" t="n">
        <v>0.381</v>
      </c>
      <c r="N47" s="1" t="n">
        <v>0.74</v>
      </c>
      <c r="O47" s="1" t="n">
        <f aca="false">2+2+2+2+1+2</f>
        <v>11</v>
      </c>
      <c r="P47" s="1" t="n">
        <v>14.8</v>
      </c>
      <c r="Q47" s="1" t="n">
        <v>0.625</v>
      </c>
      <c r="R47" s="1" t="n">
        <v>5.5</v>
      </c>
    </row>
    <row r="48" customFormat="false" ht="12.75" hidden="false" customHeight="false" outlineLevel="0" collapsed="false">
      <c r="A48" s="1" t="s">
        <v>464</v>
      </c>
      <c r="B48" s="1" t="n">
        <v>2</v>
      </c>
      <c r="D48" s="1" t="n">
        <v>0.636</v>
      </c>
      <c r="E48" s="1" t="n">
        <v>5</v>
      </c>
      <c r="F48" s="1" t="n">
        <v>0</v>
      </c>
      <c r="G48" s="1" t="n">
        <v>1</v>
      </c>
      <c r="H48" s="1" t="n">
        <v>8</v>
      </c>
      <c r="I48" s="1" t="n">
        <v>9</v>
      </c>
      <c r="J48" s="1" t="n">
        <v>1</v>
      </c>
      <c r="K48" s="1" t="n">
        <v>0.194</v>
      </c>
      <c r="L48" s="1" t="n">
        <v>0.331</v>
      </c>
      <c r="M48" s="1" t="n">
        <v>0.367</v>
      </c>
      <c r="N48" s="1" t="n">
        <v>0.764</v>
      </c>
      <c r="O48" s="1" t="n">
        <f aca="false">4+4+4+3+2+2</f>
        <v>19</v>
      </c>
      <c r="P48" s="1" t="n">
        <v>2.6</v>
      </c>
      <c r="Q48" s="1" t="n">
        <v>0.7</v>
      </c>
      <c r="R48" s="1" t="n">
        <v>10.5</v>
      </c>
    </row>
    <row r="49" customFormat="false" ht="12.75" hidden="false" customHeight="false" outlineLevel="0" collapsed="false">
      <c r="A49" s="1" t="s">
        <v>124</v>
      </c>
      <c r="B49" s="1" t="n">
        <v>0</v>
      </c>
      <c r="D49" s="1" t="n">
        <v>0.593</v>
      </c>
      <c r="E49" s="1" t="n">
        <v>7</v>
      </c>
      <c r="F49" s="1" t="n">
        <v>0</v>
      </c>
      <c r="G49" s="1" t="n">
        <v>0</v>
      </c>
      <c r="H49" s="1" t="n">
        <v>2</v>
      </c>
      <c r="I49" s="1" t="n">
        <v>3</v>
      </c>
      <c r="J49" s="1" t="n">
        <v>1</v>
      </c>
      <c r="K49" s="1" t="n">
        <v>0.2215</v>
      </c>
      <c r="L49" s="1" t="n">
        <v>0.292</v>
      </c>
      <c r="M49" s="1" t="n">
        <v>0.352</v>
      </c>
      <c r="N49" s="1" t="n">
        <v>0.727</v>
      </c>
      <c r="O49" s="1" t="n">
        <f aca="false">4+3+4+2+1+1</f>
        <v>15</v>
      </c>
      <c r="P49" s="1" t="n">
        <v>-0.5</v>
      </c>
      <c r="Q49" s="1" t="n">
        <v>0.714</v>
      </c>
      <c r="R49" s="1" t="n">
        <v>-1.9</v>
      </c>
    </row>
    <row r="50" customFormat="false" ht="12.75" hidden="false" customHeight="false" outlineLevel="0" collapsed="false">
      <c r="A50" s="1" t="s">
        <v>50</v>
      </c>
      <c r="B50" s="1" t="n">
        <v>0</v>
      </c>
      <c r="D50" s="1" t="n">
        <v>0.677</v>
      </c>
      <c r="E50" s="1" t="n">
        <v>5</v>
      </c>
      <c r="F50" s="1" t="n">
        <v>0</v>
      </c>
      <c r="G50" s="1" t="n">
        <v>1</v>
      </c>
      <c r="H50" s="1" t="n">
        <v>2</v>
      </c>
      <c r="I50" s="1" t="n">
        <v>4</v>
      </c>
      <c r="J50" s="1" t="n">
        <v>1</v>
      </c>
      <c r="K50" s="1" t="n">
        <v>0.2285</v>
      </c>
      <c r="L50" s="1" t="n">
        <v>0.366</v>
      </c>
      <c r="M50" s="1" t="n">
        <v>0.4</v>
      </c>
      <c r="N50" s="1" t="n">
        <v>0.719</v>
      </c>
      <c r="O50" s="1" t="n">
        <f aca="false">2+2+4+4+4+1</f>
        <v>17</v>
      </c>
      <c r="P50" s="1" t="n">
        <v>14</v>
      </c>
      <c r="Q50" s="1" t="n">
        <v>0.5</v>
      </c>
      <c r="R50" s="1" t="n">
        <v>5.4</v>
      </c>
    </row>
    <row r="51" customFormat="false" ht="12.75" hidden="false" customHeight="false" outlineLevel="0" collapsed="false">
      <c r="A51" s="1" t="s">
        <v>522</v>
      </c>
      <c r="B51" s="1" t="n">
        <v>1</v>
      </c>
      <c r="D51" s="1" t="n">
        <v>0.788</v>
      </c>
      <c r="E51" s="1" t="n">
        <v>7</v>
      </c>
      <c r="F51" s="1" t="n">
        <v>0</v>
      </c>
      <c r="G51" s="1" t="n">
        <v>0</v>
      </c>
      <c r="H51" s="1" t="n">
        <v>4</v>
      </c>
      <c r="I51" s="1" t="n">
        <v>1</v>
      </c>
      <c r="J51" s="1" t="n">
        <v>1</v>
      </c>
      <c r="K51" s="1" t="n">
        <v>0.196</v>
      </c>
      <c r="L51" s="1" t="n">
        <v>0.326</v>
      </c>
      <c r="M51" s="1" t="n">
        <v>0.356</v>
      </c>
      <c r="N51" s="1" t="n">
        <v>0.693</v>
      </c>
      <c r="O51" s="1" t="n">
        <v>17</v>
      </c>
      <c r="P51" s="1" t="n">
        <v>11.4</v>
      </c>
      <c r="Q51" s="1" t="n">
        <f aca="false">7/12</f>
        <v>0.5833333333</v>
      </c>
      <c r="R51" s="1" t="n">
        <v>4.5</v>
      </c>
    </row>
    <row r="52" customFormat="false" ht="12.75" hidden="false" customHeight="false" outlineLevel="0" collapsed="false">
      <c r="A52" s="1" t="s">
        <v>131</v>
      </c>
      <c r="B52" s="1" t="n">
        <v>3</v>
      </c>
      <c r="D52" s="1" t="n">
        <v>0.706</v>
      </c>
      <c r="E52" s="1" t="n">
        <v>7</v>
      </c>
      <c r="F52" s="1" t="n">
        <v>0</v>
      </c>
      <c r="G52" s="1" t="n">
        <v>1</v>
      </c>
      <c r="H52" s="1" t="n">
        <v>3</v>
      </c>
      <c r="I52" s="1" t="n">
        <v>7</v>
      </c>
      <c r="J52" s="1" t="n">
        <v>1</v>
      </c>
      <c r="K52" s="1" t="n">
        <v>0.211</v>
      </c>
      <c r="L52" s="1" t="n">
        <v>0.344</v>
      </c>
      <c r="M52" s="1" t="n">
        <v>0.348</v>
      </c>
      <c r="N52" s="1" t="n">
        <v>0.706</v>
      </c>
      <c r="O52" s="1" t="n">
        <v>17</v>
      </c>
      <c r="P52" s="1" t="n">
        <v>8.2</v>
      </c>
      <c r="Q52" s="1" t="n">
        <f aca="false">8/12</f>
        <v>0.6666666667</v>
      </c>
      <c r="R52" s="1" t="n">
        <v>10.8</v>
      </c>
    </row>
    <row r="53" customFormat="false" ht="12.75" hidden="false" customHeight="false" outlineLevel="0" collapsed="false">
      <c r="A53" s="1" t="s">
        <v>603</v>
      </c>
      <c r="B53" s="1" t="n">
        <v>0</v>
      </c>
      <c r="D53" s="1" t="n">
        <v>0.806</v>
      </c>
      <c r="E53" s="1" t="n">
        <v>8</v>
      </c>
      <c r="F53" s="1" t="n">
        <v>1</v>
      </c>
      <c r="G53" s="1" t="n">
        <v>0</v>
      </c>
      <c r="H53" s="1" t="n">
        <v>1</v>
      </c>
      <c r="I53" s="1" t="n">
        <v>1</v>
      </c>
      <c r="J53" s="1" t="n">
        <v>1</v>
      </c>
      <c r="K53" s="1" t="n">
        <v>0.2465</v>
      </c>
      <c r="L53" s="1" t="n">
        <v>0.365</v>
      </c>
      <c r="M53" s="1" t="n">
        <v>0.4</v>
      </c>
      <c r="N53" s="1" t="n">
        <v>0.713</v>
      </c>
      <c r="O53" s="1" t="n">
        <f aca="false">4+1+2+2+2+2</f>
        <v>13</v>
      </c>
      <c r="P53" s="1" t="n">
        <v>11.1</v>
      </c>
      <c r="Q53" s="1" t="n">
        <v>0.714</v>
      </c>
      <c r="R53" s="1" t="n">
        <v>-3.4</v>
      </c>
    </row>
    <row r="54" customFormat="false" ht="12.75" hidden="false" customHeight="false" outlineLevel="0" collapsed="false">
      <c r="A54" s="1" t="s">
        <v>335</v>
      </c>
      <c r="B54" s="1" t="n">
        <v>3</v>
      </c>
      <c r="D54" s="1" t="n">
        <v>0.912</v>
      </c>
      <c r="E54" s="1" t="n">
        <v>8</v>
      </c>
      <c r="F54" s="1" t="n">
        <v>0</v>
      </c>
      <c r="G54" s="1" t="n">
        <v>1</v>
      </c>
      <c r="H54" s="1" t="n">
        <v>7</v>
      </c>
      <c r="I54" s="1" t="n">
        <v>2</v>
      </c>
      <c r="J54" s="1" t="n">
        <v>3</v>
      </c>
      <c r="K54" s="1" t="n">
        <v>0.195</v>
      </c>
      <c r="L54" s="1" t="n">
        <v>0.314</v>
      </c>
      <c r="M54" s="1" t="n">
        <v>0.429</v>
      </c>
      <c r="N54" s="1" t="n">
        <v>0.743</v>
      </c>
      <c r="O54" s="1" t="n">
        <f aca="false">2+4+4+4+4+2</f>
        <v>20</v>
      </c>
      <c r="P54" s="1" t="n">
        <v>25.5</v>
      </c>
      <c r="Q54" s="1" t="n">
        <v>0.666</v>
      </c>
      <c r="R54" s="1" t="n">
        <v>9.9</v>
      </c>
    </row>
    <row r="55" customFormat="false" ht="12.75" hidden="false" customHeight="false" outlineLevel="0" collapsed="false">
      <c r="A55" s="1" t="s">
        <v>81</v>
      </c>
      <c r="B55" s="1" t="n">
        <v>1</v>
      </c>
      <c r="D55" s="1" t="n">
        <v>0.735</v>
      </c>
      <c r="E55" s="1" t="n">
        <v>6</v>
      </c>
      <c r="F55" s="1" t="n">
        <v>0</v>
      </c>
      <c r="G55" s="1" t="n">
        <v>1</v>
      </c>
      <c r="H55" s="1" t="n">
        <v>6</v>
      </c>
      <c r="I55" s="1" t="n">
        <v>5</v>
      </c>
      <c r="J55" s="1" t="n">
        <v>3</v>
      </c>
      <c r="K55" s="1" t="n">
        <v>0.2135</v>
      </c>
      <c r="L55" s="1" t="n">
        <v>0.371</v>
      </c>
      <c r="M55" s="1" t="n">
        <v>0.335</v>
      </c>
      <c r="N55" s="1" t="n">
        <v>0.715</v>
      </c>
      <c r="O55" s="1" t="n">
        <f aca="false">4+3+4+2+2+2</f>
        <v>17</v>
      </c>
      <c r="P55" s="1" t="n">
        <v>7.6</v>
      </c>
      <c r="Q55" s="1" t="n">
        <v>0.777</v>
      </c>
      <c r="R55" s="1" t="n">
        <v>5.8</v>
      </c>
    </row>
    <row r="56" customFormat="false" ht="12.75" hidden="false" customHeight="false" outlineLevel="0" collapsed="false">
      <c r="A56" s="1" t="s">
        <v>202</v>
      </c>
      <c r="B56" s="1" t="n">
        <v>3</v>
      </c>
      <c r="D56" s="1" t="n">
        <v>0.649</v>
      </c>
      <c r="E56" s="1" t="n">
        <v>9</v>
      </c>
      <c r="F56" s="1" t="n">
        <v>1</v>
      </c>
      <c r="G56" s="1" t="n">
        <v>0</v>
      </c>
      <c r="H56" s="1" t="n">
        <v>1</v>
      </c>
      <c r="I56" s="1" t="n">
        <v>8</v>
      </c>
      <c r="J56" s="1" t="n">
        <v>3</v>
      </c>
      <c r="K56" s="1" t="n">
        <v>0.167</v>
      </c>
      <c r="L56" s="1" t="n">
        <v>0.367</v>
      </c>
      <c r="M56" s="1" t="n">
        <v>0.345</v>
      </c>
      <c r="N56" s="1" t="n">
        <v>0.7</v>
      </c>
      <c r="O56" s="1" t="n">
        <f aca="false">4+1+3+4+2+3</f>
        <v>17</v>
      </c>
      <c r="P56" s="1" t="n">
        <v>10.4</v>
      </c>
      <c r="Q56" s="1" t="n">
        <v>0.571</v>
      </c>
      <c r="R56" s="1" t="n">
        <v>9.8</v>
      </c>
    </row>
    <row r="57" customFormat="false" ht="12.75" hidden="false" customHeight="false" outlineLevel="0" collapsed="false">
      <c r="A57" s="1" t="s">
        <v>336</v>
      </c>
      <c r="B57" s="1" t="n">
        <v>0</v>
      </c>
      <c r="D57" s="1" t="n">
        <v>0.667</v>
      </c>
      <c r="E57" s="1" t="n">
        <v>4</v>
      </c>
      <c r="F57" s="1" t="n">
        <v>0</v>
      </c>
      <c r="G57" s="1" t="n">
        <v>1</v>
      </c>
      <c r="H57" s="1" t="n">
        <v>5</v>
      </c>
      <c r="I57" s="1" t="n">
        <v>10</v>
      </c>
      <c r="J57" s="1" t="n">
        <v>3</v>
      </c>
      <c r="K57" s="1" t="n">
        <v>0.208</v>
      </c>
      <c r="L57" s="1" t="n">
        <v>0.35</v>
      </c>
      <c r="M57" s="1" t="n">
        <v>0.369</v>
      </c>
      <c r="N57" s="1" t="n">
        <v>0.68</v>
      </c>
      <c r="O57" s="1" t="n">
        <f aca="false">3+2+4+4+2+4</f>
        <v>19</v>
      </c>
      <c r="P57" s="1" t="n">
        <v>6.9</v>
      </c>
      <c r="Q57" s="1" t="n">
        <v>0.6</v>
      </c>
      <c r="R57" s="1" t="n">
        <v>10.3</v>
      </c>
    </row>
    <row r="58" customFormat="false" ht="12.75" hidden="false" customHeight="false" outlineLevel="0" collapsed="false">
      <c r="A58" s="1" t="s">
        <v>33</v>
      </c>
      <c r="B58" s="1" t="n">
        <v>0</v>
      </c>
      <c r="D58" s="1" t="n">
        <v>0.735</v>
      </c>
      <c r="E58" s="1" t="n">
        <v>8</v>
      </c>
      <c r="F58" s="1" t="n">
        <v>0</v>
      </c>
      <c r="G58" s="1" t="n">
        <v>1</v>
      </c>
      <c r="H58" s="1" t="n">
        <v>7</v>
      </c>
      <c r="I58" s="1" t="n">
        <v>7</v>
      </c>
      <c r="J58" s="1" t="n">
        <v>3</v>
      </c>
      <c r="K58" s="1" t="n">
        <v>0.216</v>
      </c>
      <c r="L58" s="1" t="n">
        <v>0.358</v>
      </c>
      <c r="M58" s="1" t="n">
        <v>0.343</v>
      </c>
      <c r="N58" s="1" t="n">
        <v>0.65</v>
      </c>
      <c r="O58" s="1" t="n">
        <f aca="false">3+3+3+1+1+1</f>
        <v>12</v>
      </c>
      <c r="P58" s="1" t="n">
        <v>7.7</v>
      </c>
      <c r="Q58" s="1" t="n">
        <v>1</v>
      </c>
      <c r="R58" s="1" t="n">
        <v>8.9</v>
      </c>
    </row>
    <row r="59" customFormat="false" ht="12.75" hidden="false" customHeight="false" outlineLevel="0" collapsed="false">
      <c r="A59" s="1" t="s">
        <v>64</v>
      </c>
      <c r="B59" s="1" t="n">
        <v>2</v>
      </c>
      <c r="D59" s="1" t="n">
        <v>0.719</v>
      </c>
      <c r="E59" s="1" t="n">
        <v>7</v>
      </c>
      <c r="F59" s="1" t="n">
        <v>0</v>
      </c>
      <c r="G59" s="1" t="n">
        <v>1</v>
      </c>
      <c r="H59" s="1" t="n">
        <v>6</v>
      </c>
      <c r="I59" s="1" t="n">
        <v>6</v>
      </c>
      <c r="J59" s="1" t="n">
        <v>3</v>
      </c>
      <c r="K59" s="1" t="n">
        <v>0.2215</v>
      </c>
      <c r="L59" s="1" t="n">
        <v>0.354</v>
      </c>
      <c r="M59" s="1" t="n">
        <v>0.355</v>
      </c>
      <c r="N59" s="1" t="n">
        <v>0.663</v>
      </c>
      <c r="O59" s="1" t="n">
        <v>16</v>
      </c>
      <c r="P59" s="1" t="n">
        <v>6.7</v>
      </c>
      <c r="Q59" s="1" t="n">
        <f aca="false">8/12</f>
        <v>0.6666666667</v>
      </c>
      <c r="R59" s="1" t="n">
        <v>12</v>
      </c>
    </row>
    <row r="60" customFormat="false" ht="12.75" hidden="false" customHeight="false" outlineLevel="0" collapsed="false">
      <c r="A60" s="1" t="s">
        <v>471</v>
      </c>
      <c r="B60" s="1" t="n">
        <v>1</v>
      </c>
      <c r="D60" s="1" t="n">
        <v>0.824</v>
      </c>
      <c r="E60" s="1" t="n">
        <v>7</v>
      </c>
      <c r="F60" s="1" t="n">
        <v>1</v>
      </c>
      <c r="G60" s="1" t="n">
        <v>0</v>
      </c>
      <c r="H60" s="1" t="n">
        <v>1</v>
      </c>
      <c r="I60" s="1" t="n">
        <v>1</v>
      </c>
      <c r="J60" s="1" t="n">
        <v>2</v>
      </c>
      <c r="K60" s="1" t="n">
        <v>0.229</v>
      </c>
      <c r="L60" s="1" t="n">
        <v>0.336</v>
      </c>
      <c r="M60" s="1" t="n">
        <v>0.39</v>
      </c>
      <c r="N60" s="1" t="n">
        <v>0.673</v>
      </c>
      <c r="O60" s="1" t="n">
        <f aca="false">2+3+2+2+3+2</f>
        <v>14</v>
      </c>
      <c r="P60" s="1" t="n">
        <v>20.1</v>
      </c>
      <c r="Q60" s="1" t="n">
        <v>0.428</v>
      </c>
      <c r="R60" s="1" t="n">
        <v>-1.5</v>
      </c>
    </row>
    <row r="61" customFormat="false" ht="12.75" hidden="false" customHeight="false" outlineLevel="0" collapsed="false">
      <c r="A61" s="1" t="s">
        <v>20</v>
      </c>
      <c r="B61" s="1" t="n">
        <v>0</v>
      </c>
      <c r="D61" s="1" t="n">
        <v>0.69</v>
      </c>
      <c r="E61" s="1" t="n">
        <v>5</v>
      </c>
      <c r="F61" s="1" t="n">
        <v>0</v>
      </c>
      <c r="G61" s="1" t="n">
        <v>1</v>
      </c>
      <c r="H61" s="1" t="n">
        <v>8</v>
      </c>
      <c r="I61" s="1" t="n">
        <v>7</v>
      </c>
      <c r="J61" s="1" t="n">
        <v>1</v>
      </c>
      <c r="K61" s="1" t="n">
        <v>0.205</v>
      </c>
      <c r="L61" s="1" t="n">
        <v>0.35</v>
      </c>
      <c r="M61" s="1" t="n">
        <v>0.369</v>
      </c>
      <c r="N61" s="1" t="n">
        <v>0.736</v>
      </c>
      <c r="O61" s="1" t="n">
        <f aca="false">2+4+3+2+3+4</f>
        <v>18</v>
      </c>
      <c r="P61" s="1" t="n">
        <v>13.6</v>
      </c>
      <c r="Q61" s="1" t="n">
        <v>0.4</v>
      </c>
      <c r="R61" s="1" t="n">
        <v>8.7</v>
      </c>
    </row>
    <row r="62" customFormat="false" ht="12.75" hidden="false" customHeight="false" outlineLevel="0" collapsed="false">
      <c r="A62" s="1" t="s">
        <v>136</v>
      </c>
      <c r="B62" s="1" t="n">
        <v>0</v>
      </c>
      <c r="D62" s="1" t="n">
        <v>0.633</v>
      </c>
      <c r="E62" s="1" t="n">
        <v>4</v>
      </c>
      <c r="F62" s="1" t="n">
        <v>0</v>
      </c>
      <c r="G62" s="1" t="n">
        <v>1</v>
      </c>
      <c r="H62" s="1" t="n">
        <v>7</v>
      </c>
      <c r="I62" s="1" t="n">
        <v>10</v>
      </c>
      <c r="J62" s="1" t="n">
        <v>1</v>
      </c>
      <c r="K62" s="1" t="n">
        <v>0.1965</v>
      </c>
      <c r="L62" s="1" t="n">
        <v>0.32</v>
      </c>
      <c r="M62" s="1" t="n">
        <v>0.358</v>
      </c>
      <c r="N62" s="1" t="n">
        <v>0.727</v>
      </c>
      <c r="O62" s="1" t="n">
        <f aca="false">4+2+4+3+3+3</f>
        <v>19</v>
      </c>
      <c r="P62" s="1" t="n">
        <v>14.1</v>
      </c>
      <c r="Q62" s="1" t="n">
        <v>0.333</v>
      </c>
      <c r="R62" s="1" t="n">
        <v>10.5</v>
      </c>
    </row>
    <row r="63" customFormat="false" ht="12.75" hidden="false" customHeight="false" outlineLevel="0" collapsed="false">
      <c r="A63" s="1" t="s">
        <v>379</v>
      </c>
      <c r="B63" s="1" t="n">
        <v>0</v>
      </c>
      <c r="D63" s="1" t="n">
        <v>0.774</v>
      </c>
      <c r="E63" s="1" t="n">
        <v>8</v>
      </c>
      <c r="F63" s="1" t="n">
        <v>1</v>
      </c>
      <c r="G63" s="1" t="n">
        <v>0</v>
      </c>
      <c r="H63" s="1" t="n">
        <v>0</v>
      </c>
      <c r="I63" s="1" t="n">
        <v>1</v>
      </c>
      <c r="J63" s="1" t="n">
        <v>1</v>
      </c>
      <c r="K63" s="1" t="n">
        <v>0.223</v>
      </c>
      <c r="L63" s="1" t="n">
        <v>0.341</v>
      </c>
      <c r="M63" s="1" t="n">
        <v>0.352</v>
      </c>
      <c r="N63" s="1" t="n">
        <v>0.691</v>
      </c>
      <c r="O63" s="1" t="n">
        <f aca="false">2+3+2+4+1+3</f>
        <v>15</v>
      </c>
      <c r="P63" s="1" t="n">
        <v>19.5</v>
      </c>
      <c r="Q63" s="1" t="n">
        <v>0.5</v>
      </c>
      <c r="R63" s="1" t="n">
        <v>-1.6</v>
      </c>
    </row>
    <row r="64" customFormat="false" ht="12.75" hidden="false" customHeight="false" outlineLevel="0" collapsed="false">
      <c r="A64" s="1" t="s">
        <v>137</v>
      </c>
      <c r="B64" s="1" t="n">
        <v>0</v>
      </c>
      <c r="D64" s="1" t="n">
        <v>0.581</v>
      </c>
      <c r="E64" s="1" t="n">
        <v>8</v>
      </c>
      <c r="F64" s="1" t="n">
        <v>1</v>
      </c>
      <c r="G64" s="1" t="n">
        <v>0</v>
      </c>
      <c r="H64" s="1" t="n">
        <v>0</v>
      </c>
      <c r="I64" s="1" t="n">
        <v>2</v>
      </c>
      <c r="J64" s="1" t="n">
        <v>3</v>
      </c>
      <c r="K64" s="1" t="n">
        <v>0.2235</v>
      </c>
      <c r="L64" s="1" t="n">
        <v>0.329</v>
      </c>
      <c r="M64" s="1" t="n">
        <v>0.351</v>
      </c>
      <c r="N64" s="1" t="n">
        <v>0.687</v>
      </c>
      <c r="O64" s="1" t="n">
        <f aca="false">2+3+3+4+1+1</f>
        <v>14</v>
      </c>
      <c r="P64" s="1" t="n">
        <v>5.9</v>
      </c>
      <c r="Q64" s="1" t="n">
        <v>0.375</v>
      </c>
      <c r="R64" s="1" t="n">
        <v>-7.8</v>
      </c>
    </row>
    <row r="65" customFormat="false" ht="12.75" hidden="false" customHeight="false" outlineLevel="0" collapsed="false">
      <c r="A65" s="1" t="s">
        <v>138</v>
      </c>
      <c r="B65" s="1" t="n">
        <v>0</v>
      </c>
      <c r="D65" s="1" t="n">
        <v>0.621</v>
      </c>
      <c r="E65" s="1" t="n">
        <v>4</v>
      </c>
      <c r="F65" s="1" t="n">
        <v>0</v>
      </c>
      <c r="G65" s="1" t="n">
        <v>1</v>
      </c>
      <c r="H65" s="1" t="n">
        <v>9</v>
      </c>
      <c r="I65" s="1" t="n">
        <v>8</v>
      </c>
      <c r="J65" s="1" t="n">
        <v>3</v>
      </c>
      <c r="K65" s="1" t="n">
        <v>0.2025</v>
      </c>
      <c r="L65" s="1" t="n">
        <v>0.269</v>
      </c>
      <c r="M65" s="1" t="n">
        <v>0.365</v>
      </c>
      <c r="N65" s="1" t="n">
        <v>0.702</v>
      </c>
      <c r="O65" s="1" t="n">
        <f aca="false">4+2+4+2+4+3</f>
        <v>19</v>
      </c>
      <c r="P65" s="1" t="n">
        <v>4.7</v>
      </c>
      <c r="Q65" s="1" t="n">
        <v>0.583</v>
      </c>
      <c r="R65" s="1" t="n">
        <v>12.1</v>
      </c>
    </row>
    <row r="66" customFormat="false" ht="12.75" hidden="false" customHeight="false" outlineLevel="0" collapsed="false">
      <c r="A66" s="1" t="s">
        <v>36</v>
      </c>
      <c r="B66" s="1" t="n">
        <v>0</v>
      </c>
      <c r="D66" s="1" t="n">
        <v>0.724</v>
      </c>
      <c r="E66" s="1" t="n">
        <v>5</v>
      </c>
      <c r="F66" s="1" t="n">
        <v>0</v>
      </c>
      <c r="G66" s="1" t="n">
        <v>0</v>
      </c>
      <c r="H66" s="1" t="n">
        <v>4</v>
      </c>
      <c r="I66" s="1" t="n">
        <v>3</v>
      </c>
      <c r="J66" s="1" t="n">
        <v>1</v>
      </c>
      <c r="K66" s="1" t="n">
        <v>0.2105</v>
      </c>
      <c r="L66" s="1" t="n">
        <v>0.354</v>
      </c>
      <c r="M66" s="1" t="n">
        <v>0.303</v>
      </c>
      <c r="N66" s="1" t="n">
        <v>0.703</v>
      </c>
      <c r="O66" s="1" t="n">
        <f aca="false">4+2+3+1+1+3</f>
        <v>14</v>
      </c>
      <c r="P66" s="1" t="n">
        <v>10.8</v>
      </c>
      <c r="Q66" s="1" t="n">
        <v>0.6</v>
      </c>
      <c r="R66" s="1" t="n">
        <v>4.6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RowHeight="12.75" zeroHeight="false" outlineLevelRow="0" outlineLevelCol="0"/>
  <cols>
    <col collapsed="false" customWidth="true" hidden="false" outlineLevel="0" max="1" min="1" style="0" width="17.29"/>
    <col collapsed="false" customWidth="true" hidden="false" outlineLevel="0" max="40" min="2" style="0" width="14.43"/>
    <col collapsed="false" customWidth="true" hidden="false" outlineLevel="0" max="41" min="41" style="0" width="18.29"/>
    <col collapsed="false" customWidth="true" hidden="false" outlineLevel="0" max="42" min="42" style="0" width="19.43"/>
    <col collapsed="false" customWidth="true" hidden="false" outlineLevel="0" max="45" min="43" style="0" width="14.43"/>
    <col collapsed="false" customWidth="true" hidden="false" outlineLevel="0" max="46" min="46" style="0" width="16.57"/>
    <col collapsed="false" customWidth="true" hidden="false" outlineLevel="0" max="1025" min="47" style="0" width="14.43"/>
  </cols>
  <sheetData>
    <row r="1" customFormat="false" ht="28.5" hidden="false" customHeight="true" outlineLevel="0" collapsed="false">
      <c r="A1" s="1" t="s">
        <v>2</v>
      </c>
      <c r="B1" s="1" t="s">
        <v>3</v>
      </c>
      <c r="C1" s="1" t="s">
        <v>4</v>
      </c>
      <c r="D1" s="1" t="s">
        <v>5</v>
      </c>
      <c r="E1" s="2" t="str">
        <f aca="false">HYPERLINK("https://www.sports-reference.com/cbb/seasons/2018-school-stats.html","points")</f>
        <v>points</v>
      </c>
      <c r="F1" s="2" t="str">
        <f aca="false">HYPERLINK("https://www.teamrankings.com/ncaa-basketball/ranking/last-10-games-by-other","# of wins in last 10 games")</f>
        <v># of wins in last 10 games</v>
      </c>
      <c r="G1" s="2" t="str">
        <f aca="false">HYPERLINK("https://www.sports-reference.com/cbb/seasons/2018-coaches.html","coach tourney appearances")</f>
        <v>coach tourney appearances</v>
      </c>
      <c r="H1" s="2" t="str">
        <f aca="false">HYPERLINK("https://www.sports-reference.com/cbb/seasons/2018-school-stats.html","SOS")</f>
        <v>SOS</v>
      </c>
      <c r="I1" s="2" t="str">
        <f aca="false">HYPERLINK("https://kenpom.com/index.php","Offensive Efficiency")</f>
        <v>Offensive Efficiency</v>
      </c>
      <c r="J1" s="2" t="str">
        <f aca="false">HYPERLINK("https://kenpom.com/index.php","Defensive Efficiency")</f>
        <v>Defensive Efficiency</v>
      </c>
      <c r="K1" s="2" t="str">
        <f aca="false">HYPERLINK("https://kenpom.com/index.php","Offensive-Defensive Effiency subtract offensive - defensive efficiency to get this column")</f>
        <v>Offensive-Defensive Effiency subtract offensive - defensive efficiency to get this column</v>
      </c>
      <c r="L1" s="2" t="str">
        <f aca="false">HYPERLINK("https://www.sports-reference.com/cbb/seasons/2018-coaches.html","Coach Record (overall)")</f>
        <v>Coach Record (overall)</v>
      </c>
      <c r="M1" s="2" t="str">
        <f aca="false">HYPERLINK("https://www.sports-reference.com/cbb/seasons/2018-school-stats.html","SRS (sports ref)")</f>
        <v>SRS (sports ref)</v>
      </c>
      <c r="N1" s="2" t="str">
        <f aca="false">HYPERLINK("https://www.sports-reference.com/cbb/seasons/2018-school-stats.html","FT")</f>
        <v>FT</v>
      </c>
      <c r="O1" s="2" t="str">
        <f aca="false">HYPERLINK("https://www.ncaa.com/stats/basketball-men/d1/current/team/217/p2","turnovers per game")</f>
        <v>turnovers per game</v>
      </c>
      <c r="P1" s="2" t="str">
        <f aca="false">HYPERLINK("https://www.sports-reference.com/cbb/seasons/2018-school-stats.html","winning %")</f>
        <v>winning %</v>
      </c>
      <c r="Q1" s="2" t="str">
        <f aca="false">HYPERLINK("https://www.sports-reference.com/cbb/seasons/2018-school-stats.html","TRB")</f>
        <v>TRB</v>
      </c>
      <c r="R1" s="2" t="str">
        <f aca="false">HYPERLINK("https://www.sports-reference.com/cbb/seasons/2018-school-stats.html","AST")</f>
        <v>AST</v>
      </c>
      <c r="S1" s="2" t="str">
        <f aca="false">HYPERLINK("https://www.sports-reference.com/cbb/seasons/2018-school-stats.html","points pg")</f>
        <v>points pg</v>
      </c>
      <c r="T1" s="2" t="str">
        <f aca="false">HYPERLINK("https://www.sports-reference.com/cbb/seasons/2018-school-stats.html","Points Allowed PG")</f>
        <v>Points Allowed PG</v>
      </c>
      <c r="U1" s="2" t="str">
        <f aca="false">HYPERLINK("https://www.sports-reference.com/cbb/seasons/2018-school-stats.html","PF")</f>
        <v>PF</v>
      </c>
      <c r="V1" s="2" t="str">
        <f aca="false">HYPERLINK("https://www.sports-reference.com/cbb/seasons/2018-school-stats.html","3PA (sports reference)")</f>
        <v>3PA (sports reference)</v>
      </c>
      <c r="W1" s="1" t="s">
        <v>6</v>
      </c>
      <c r="X1" s="2" t="str">
        <f aca="false">HYPERLINK("https://www.sports-reference.com/cbb/seasons/2018-school-stats.html","FGA")</f>
        <v>FGA</v>
      </c>
      <c r="Y1" s="1" t="s">
        <v>7</v>
      </c>
      <c r="Z1" s="2" t="str">
        <f aca="false">HYPERLINK("http://www.espn.com/mens-college-basketball/statistics/team/_/stat/field-goals/sort/fieldGoalPct","FG%")</f>
        <v>FG%</v>
      </c>
      <c r="AA1" s="2" t="str">
        <f aca="false">HYPERLINK("https://www.teamrankings.com/ncaa-basketball/stat/average-scoring-margin","Average Scoring Margin")</f>
        <v>Average Scoring Margin</v>
      </c>
      <c r="AB1" s="1" t="s">
        <v>8</v>
      </c>
      <c r="AC1" s="2" t="str">
        <f aca="false">HYPERLINK("https://www.sports-reference.com/cbb/seasons/2018-school-stats.html","Steals")</f>
        <v>Steals</v>
      </c>
      <c r="AD1" s="1" t="s">
        <v>9</v>
      </c>
      <c r="AE1" s="2" t="str">
        <f aca="false">HYPERLINK("https://kenpom.com/","KenPom Sos")</f>
        <v>KenPom Sos</v>
      </c>
      <c r="AF1" s="1" t="s">
        <v>10</v>
      </c>
      <c r="AG1" s="3" t="s">
        <v>11</v>
      </c>
      <c r="AH1" s="3" t="s">
        <v>12</v>
      </c>
      <c r="AI1" s="1" t="s">
        <v>13</v>
      </c>
      <c r="AJ1" s="1" t="s">
        <v>14</v>
      </c>
      <c r="AK1" s="4" t="s">
        <v>15</v>
      </c>
      <c r="AL1" s="1" t="s">
        <v>16</v>
      </c>
      <c r="AM1" s="2" t="str">
        <f aca="false">HYPERLINK("http://warrennolan.com/basketball/2018/polls","AP Poll")</f>
        <v>AP Poll</v>
      </c>
      <c r="AN1" s="5" t="s">
        <v>17</v>
      </c>
      <c r="AO1" s="6" t="str">
        <f aca="false">HYPERLINK("https://www.cbssports.com/collegebasketball/rankings/sos","Strength of Schedule")</f>
        <v>Strength of Schedule</v>
      </c>
      <c r="AP1" s="6" t="str">
        <f aca="false">HYPERLINK("https://www.ncaa.com/stats/basketball-men/d1/current/team/217","Turnovers per Game")</f>
        <v>Turnovers per Game</v>
      </c>
      <c r="AQ1" s="6" t="str">
        <f aca="false">HYPERLINK("https://kenpom.com/","KenPom AdjEM")</f>
        <v>KenPom AdjEM</v>
      </c>
      <c r="AR1" s="5" t="s">
        <v>18</v>
      </c>
      <c r="AS1" s="5" t="s">
        <v>19</v>
      </c>
      <c r="AT1" s="6" t="str">
        <f aca="false">HYPERLINK("https://www.usatoday.com/sports/ncaab/sagarin/","Sagarin Predictor")</f>
        <v>Sagarin Predictor</v>
      </c>
    </row>
    <row r="2" customFormat="false" ht="12.75" hidden="false" customHeight="false" outlineLevel="0" collapsed="false">
      <c r="A2" s="1" t="s">
        <v>20</v>
      </c>
      <c r="B2" s="1" t="n">
        <v>1438</v>
      </c>
      <c r="C2" s="1"/>
      <c r="D2" s="1" t="n">
        <v>1</v>
      </c>
      <c r="E2" s="1" t="n">
        <v>2229</v>
      </c>
      <c r="F2" s="1" t="n">
        <v>9</v>
      </c>
      <c r="G2" s="1" t="n">
        <v>7</v>
      </c>
      <c r="H2" s="7" t="n">
        <v>9.7</v>
      </c>
      <c r="I2" s="1" t="n">
        <v>116.5</v>
      </c>
      <c r="J2" s="1" t="n">
        <v>84.4</v>
      </c>
      <c r="K2" s="0" t="n">
        <f aca="false">I2-J2</f>
        <v>32.1</v>
      </c>
      <c r="L2" s="1" t="n">
        <v>0.709</v>
      </c>
      <c r="M2" s="1" t="n">
        <v>23.78</v>
      </c>
      <c r="N2" s="8" t="n">
        <v>336</v>
      </c>
      <c r="O2" s="1" t="n">
        <v>8.6</v>
      </c>
      <c r="P2" s="8" t="n">
        <v>0.939</v>
      </c>
      <c r="Q2" s="1" t="n">
        <v>1077</v>
      </c>
      <c r="R2" s="1" t="n">
        <v>453</v>
      </c>
      <c r="S2" s="0" t="n">
        <f aca="false">ROUND(E2/33, 1)</f>
        <v>67.5</v>
      </c>
      <c r="T2" s="1" t="n">
        <v>53.4</v>
      </c>
      <c r="U2" s="1" t="n">
        <v>559</v>
      </c>
      <c r="V2" s="9" t="n">
        <v>623</v>
      </c>
      <c r="W2" s="10" t="n">
        <v>0</v>
      </c>
      <c r="X2" s="9" t="n">
        <v>1788</v>
      </c>
      <c r="Y2" s="11" t="n">
        <v>3.74165738677394</v>
      </c>
      <c r="Z2" s="1" t="n">
        <v>0.461</v>
      </c>
      <c r="AA2" s="12" t="n">
        <f aca="false">+14.2</f>
        <v>14.2</v>
      </c>
      <c r="AB2" s="1" t="n">
        <v>1</v>
      </c>
      <c r="AC2" s="9" t="n">
        <v>224</v>
      </c>
      <c r="AD2" s="13"/>
      <c r="AE2" s="14" t="n">
        <v>9.99</v>
      </c>
      <c r="AF2" s="14" t="n">
        <v>0.558</v>
      </c>
      <c r="AG2" s="15" t="n">
        <v>1.555555556</v>
      </c>
      <c r="AH2" s="1" t="n">
        <v>24.235294117647</v>
      </c>
      <c r="AI2" s="14" t="n">
        <v>116.335291648989</v>
      </c>
      <c r="AJ2" s="14" t="n">
        <v>92.1882119003099</v>
      </c>
      <c r="AK2" s="14" t="n">
        <v>56.3923150344428</v>
      </c>
      <c r="AL2" s="13" t="n">
        <v>0.758</v>
      </c>
      <c r="AM2" s="16" t="n">
        <v>1</v>
      </c>
      <c r="AN2" s="14" t="n">
        <v>32.1</v>
      </c>
      <c r="AO2" s="17" t="n">
        <v>0.5932</v>
      </c>
      <c r="AP2" s="18" t="n">
        <v>8.6</v>
      </c>
      <c r="AQ2" s="14" t="n">
        <v>32.15</v>
      </c>
      <c r="AR2" s="19" t="n">
        <v>0.470188679245283</v>
      </c>
      <c r="AS2" s="19" t="n">
        <v>0.39</v>
      </c>
      <c r="AT2" s="14" t="n">
        <v>93.24</v>
      </c>
    </row>
    <row r="3" customFormat="false" ht="12.75" hidden="false" customHeight="false" outlineLevel="0" collapsed="false">
      <c r="A3" s="1" t="s">
        <v>21</v>
      </c>
      <c r="B3" s="1" t="n">
        <v>1420</v>
      </c>
      <c r="C3" s="1"/>
      <c r="D3" s="1" t="n">
        <v>16</v>
      </c>
      <c r="E3" s="1" t="n">
        <v>2513</v>
      </c>
      <c r="F3" s="1" t="n">
        <v>8</v>
      </c>
      <c r="G3" s="1" t="n">
        <v>0</v>
      </c>
      <c r="H3" s="1" t="n">
        <v>-4.98</v>
      </c>
      <c r="I3" s="1" t="n">
        <v>103.4</v>
      </c>
      <c r="J3" s="1" t="n">
        <v>105.3</v>
      </c>
      <c r="K3" s="0" t="n">
        <f aca="false">I3-J3</f>
        <v>-1.89999999999999</v>
      </c>
      <c r="L3" s="1" t="n">
        <v>0.609</v>
      </c>
      <c r="M3" s="1" t="n">
        <v>-3.7</v>
      </c>
      <c r="N3" s="8" t="n">
        <v>395</v>
      </c>
      <c r="O3" s="1" t="n">
        <v>12.1</v>
      </c>
      <c r="P3" s="8" t="n">
        <v>0.706</v>
      </c>
      <c r="Q3" s="1" t="n">
        <v>1184</v>
      </c>
      <c r="R3" s="1" t="n">
        <v>525</v>
      </c>
      <c r="S3" s="0" t="n">
        <f aca="false">ROUND(E3/34, 1)</f>
        <v>73.9</v>
      </c>
      <c r="T3" s="1" t="n">
        <v>71</v>
      </c>
      <c r="U3" s="1" t="n">
        <v>562</v>
      </c>
      <c r="V3" s="9" t="n">
        <v>894</v>
      </c>
      <c r="W3" s="10" t="n">
        <v>0</v>
      </c>
      <c r="X3" s="9" t="n">
        <v>1993</v>
      </c>
      <c r="Y3" s="11" t="n">
        <v>0</v>
      </c>
      <c r="Z3" s="1" t="n">
        <v>0.445</v>
      </c>
      <c r="AA3" s="12" t="n">
        <f aca="false">+1.5</f>
        <v>1.5</v>
      </c>
      <c r="AB3" s="1" t="n">
        <v>0</v>
      </c>
      <c r="AC3" s="9" t="n">
        <v>256</v>
      </c>
      <c r="AD3" s="13"/>
      <c r="AE3" s="14" t="n">
        <v>-5.63</v>
      </c>
      <c r="AF3" s="14" t="n">
        <v>0.551</v>
      </c>
      <c r="AG3" s="15" t="n">
        <v>173.1111111</v>
      </c>
      <c r="AH3" s="1" t="n">
        <v>24.25</v>
      </c>
      <c r="AI3" s="14" t="n">
        <v>110.123681840091</v>
      </c>
      <c r="AJ3" s="14" t="n">
        <v>108.6392548033</v>
      </c>
      <c r="AK3" s="14" t="n">
        <v>54.7776414744868</v>
      </c>
      <c r="AL3" s="13" t="n">
        <v>0.649</v>
      </c>
      <c r="AM3" s="16" t="n">
        <v>47</v>
      </c>
      <c r="AN3" s="14" t="n">
        <v>-1.9</v>
      </c>
      <c r="AO3" s="17" t="n">
        <v>0.4692</v>
      </c>
      <c r="AP3" s="18" t="n">
        <v>12.1</v>
      </c>
      <c r="AQ3" s="14" t="n">
        <v>-1.91</v>
      </c>
      <c r="AR3" s="19" t="n">
        <v>0.657352941176471</v>
      </c>
      <c r="AS3" s="19" t="n">
        <v>0.387</v>
      </c>
      <c r="AT3" s="14" t="n">
        <v>69.01</v>
      </c>
    </row>
    <row r="4" customFormat="false" ht="12.75" hidden="false" customHeight="false" outlineLevel="0" collapsed="false">
      <c r="A4" s="1" t="s">
        <v>22</v>
      </c>
      <c r="B4" s="1" t="n">
        <v>1166</v>
      </c>
      <c r="C4" s="1"/>
      <c r="D4" s="1" t="n">
        <v>8</v>
      </c>
      <c r="E4" s="1" t="n">
        <v>2697</v>
      </c>
      <c r="F4" s="1" t="n">
        <v>4</v>
      </c>
      <c r="G4" s="1" t="n">
        <v>7</v>
      </c>
      <c r="H4" s="13" t="n">
        <v>8.08</v>
      </c>
      <c r="I4" s="1" t="n">
        <v>116.5</v>
      </c>
      <c r="J4" s="1" t="n">
        <v>99.2</v>
      </c>
      <c r="K4" s="0" t="n">
        <f aca="false">I4-J4</f>
        <v>17.3</v>
      </c>
      <c r="L4" s="1" t="n">
        <v>0.6</v>
      </c>
      <c r="M4" s="1" t="n">
        <v>16.86</v>
      </c>
      <c r="N4" s="1" t="n">
        <v>393</v>
      </c>
      <c r="O4" s="1" t="n">
        <v>11.2</v>
      </c>
      <c r="P4" s="8" t="n">
        <v>0.656</v>
      </c>
      <c r="Q4" s="1" t="n">
        <v>1161</v>
      </c>
      <c r="R4" s="1" t="n">
        <v>576</v>
      </c>
      <c r="S4" s="0" t="n">
        <f aca="false">ROUND(E4/32, 1)</f>
        <v>84.3</v>
      </c>
      <c r="T4" s="1" t="n">
        <v>75.1</v>
      </c>
      <c r="U4" s="1" t="n">
        <v>480</v>
      </c>
      <c r="V4" s="9" t="n">
        <v>889</v>
      </c>
      <c r="W4" s="10" t="n">
        <v>0</v>
      </c>
      <c r="X4" s="9" t="n">
        <v>1982</v>
      </c>
      <c r="Y4" s="11" t="n">
        <v>2.23606797749979</v>
      </c>
      <c r="Z4" s="1" t="n">
        <v>0.497</v>
      </c>
      <c r="AA4" s="12" t="n">
        <f aca="false">+8.8</f>
        <v>8.8</v>
      </c>
      <c r="AB4" s="1" t="n">
        <v>1</v>
      </c>
      <c r="AC4" s="9" t="n">
        <v>181</v>
      </c>
      <c r="AD4" s="13"/>
      <c r="AE4" s="14" t="n">
        <v>9.23</v>
      </c>
      <c r="AF4" s="14" t="n">
        <v>0.604</v>
      </c>
      <c r="AG4" s="15" t="n">
        <v>30.77777778</v>
      </c>
      <c r="AH4" s="1" t="n">
        <v>28.6875</v>
      </c>
      <c r="AI4" s="14" t="n">
        <v>120.051683066624</v>
      </c>
      <c r="AJ4" s="14" t="n">
        <v>107.225519040562</v>
      </c>
      <c r="AK4" s="14" t="n">
        <v>60.9959401431803</v>
      </c>
      <c r="AL4" s="13" t="n">
        <v>0.747</v>
      </c>
      <c r="AM4" s="16" t="n">
        <v>39</v>
      </c>
      <c r="AN4" s="14" t="n">
        <v>17.3</v>
      </c>
      <c r="AO4" s="17" t="n">
        <v>0.5593</v>
      </c>
      <c r="AP4" s="18" t="n">
        <v>11.2</v>
      </c>
      <c r="AQ4" s="14" t="n">
        <v>17.28</v>
      </c>
      <c r="AR4" s="19" t="n">
        <v>0.689147286821705</v>
      </c>
      <c r="AS4" s="19" t="n">
        <v>0.376</v>
      </c>
      <c r="AT4" s="14" t="n">
        <v>86.27</v>
      </c>
    </row>
    <row r="5" customFormat="false" ht="12.75" hidden="false" customHeight="false" outlineLevel="0" collapsed="false">
      <c r="A5" s="1" t="s">
        <v>23</v>
      </c>
      <c r="B5" s="1" t="n">
        <v>1243</v>
      </c>
      <c r="C5" s="1"/>
      <c r="D5" s="1" t="n">
        <v>9</v>
      </c>
      <c r="E5" s="1" t="n">
        <v>2388</v>
      </c>
      <c r="F5" s="1" t="n">
        <v>6</v>
      </c>
      <c r="G5" s="1" t="n">
        <v>11</v>
      </c>
      <c r="H5" s="13" t="n">
        <v>8.96</v>
      </c>
      <c r="I5" s="1" t="n">
        <v>112.2</v>
      </c>
      <c r="J5" s="1" t="n">
        <v>97.4</v>
      </c>
      <c r="K5" s="0" t="n">
        <f aca="false">I5-J5</f>
        <v>14.8</v>
      </c>
      <c r="L5" s="1" t="n">
        <v>0.65</v>
      </c>
      <c r="M5" s="1" t="n">
        <v>13.45</v>
      </c>
      <c r="N5" s="8" t="n">
        <v>451</v>
      </c>
      <c r="O5" s="1" t="n">
        <v>11.5</v>
      </c>
      <c r="P5" s="11" t="n">
        <v>0.666666666666667</v>
      </c>
      <c r="Q5" s="1" t="n">
        <v>1010</v>
      </c>
      <c r="R5" s="1" t="n">
        <v>473</v>
      </c>
      <c r="S5" s="0" t="n">
        <f aca="false">ROUND(E5/33, 1)</f>
        <v>72.4</v>
      </c>
      <c r="T5" s="1" t="n">
        <v>67.9</v>
      </c>
      <c r="U5" s="1" t="n">
        <v>607</v>
      </c>
      <c r="V5" s="9" t="n">
        <v>665</v>
      </c>
      <c r="W5" s="10" t="n">
        <v>1</v>
      </c>
      <c r="X5" s="9" t="n">
        <v>1809</v>
      </c>
      <c r="Y5" s="11" t="n">
        <v>2.23606797749979</v>
      </c>
      <c r="Z5" s="1" t="n">
        <v>0.472</v>
      </c>
      <c r="AA5" s="12" t="n">
        <f aca="false">+4.5</f>
        <v>4.5</v>
      </c>
      <c r="AB5" s="1" t="n">
        <v>1</v>
      </c>
      <c r="AC5" s="9" t="n">
        <v>256</v>
      </c>
      <c r="AD5" s="13"/>
      <c r="AE5" s="14" t="n">
        <v>9.2</v>
      </c>
      <c r="AF5" s="14" t="n">
        <v>0.569</v>
      </c>
      <c r="AG5" s="15" t="n">
        <v>35.33333333</v>
      </c>
      <c r="AH5" s="1" t="n">
        <v>22.5588235294117</v>
      </c>
      <c r="AI5" s="14" t="n">
        <v>114.352341851854</v>
      </c>
      <c r="AJ5" s="14" t="n">
        <v>105.858745238888</v>
      </c>
      <c r="AK5" s="14" t="n">
        <v>57.7624932561818</v>
      </c>
      <c r="AL5" s="13" t="n">
        <v>0.742</v>
      </c>
      <c r="AM5" s="16" t="n">
        <v>35</v>
      </c>
      <c r="AN5" s="14" t="n">
        <v>14.8</v>
      </c>
      <c r="AO5" s="17" t="n">
        <v>0.5487</v>
      </c>
      <c r="AP5" s="18" t="n">
        <v>11.5</v>
      </c>
      <c r="AQ5" s="14" t="n">
        <v>14.75</v>
      </c>
      <c r="AR5" s="19" t="n">
        <v>0.50188679245283</v>
      </c>
      <c r="AS5" s="19" t="n">
        <v>0.344</v>
      </c>
      <c r="AT5" s="14" t="n">
        <v>83.59</v>
      </c>
    </row>
    <row r="6" customFormat="false" ht="12.75" hidden="false" customHeight="false" outlineLevel="0" collapsed="false">
      <c r="A6" s="1" t="s">
        <v>24</v>
      </c>
      <c r="B6" s="1" t="n">
        <v>1246</v>
      </c>
      <c r="C6" s="1"/>
      <c r="D6" s="1" t="n">
        <v>5</v>
      </c>
      <c r="E6" s="1" t="n">
        <v>2609</v>
      </c>
      <c r="F6" s="1" t="n">
        <v>7</v>
      </c>
      <c r="G6" s="1" t="n">
        <v>18</v>
      </c>
      <c r="H6" s="13" t="n">
        <v>10.95</v>
      </c>
      <c r="I6" s="1" t="n">
        <v>116.4</v>
      </c>
      <c r="J6" s="1" t="n">
        <v>96</v>
      </c>
      <c r="K6" s="0" t="n">
        <f aca="false">I6-J6</f>
        <v>20.4</v>
      </c>
      <c r="L6" s="1" t="n">
        <v>0.78</v>
      </c>
      <c r="M6" s="1" t="n">
        <v>17.58</v>
      </c>
      <c r="N6" s="1" t="n">
        <v>584</v>
      </c>
      <c r="O6" s="1" t="n">
        <v>13</v>
      </c>
      <c r="P6" s="8" t="n">
        <v>0.706</v>
      </c>
      <c r="Q6" s="1" t="n">
        <v>1315</v>
      </c>
      <c r="R6" s="1" t="n">
        <v>455</v>
      </c>
      <c r="S6" s="0" t="n">
        <f aca="false">ROUND(E6/34, 1)</f>
        <v>76.7</v>
      </c>
      <c r="T6" s="1" t="n">
        <v>70.2</v>
      </c>
      <c r="U6" s="1" t="n">
        <v>642</v>
      </c>
      <c r="V6" s="9" t="n">
        <v>497</v>
      </c>
      <c r="W6" s="10" t="n">
        <v>2</v>
      </c>
      <c r="X6" s="9" t="n">
        <v>1908</v>
      </c>
      <c r="Y6" s="11" t="n">
        <v>2.82842712474619</v>
      </c>
      <c r="Z6" s="1" t="n">
        <v>0.469</v>
      </c>
      <c r="AA6" s="12" t="n">
        <f aca="false">+6.4</f>
        <v>6.4</v>
      </c>
      <c r="AB6" s="1" t="n">
        <v>1</v>
      </c>
      <c r="AC6" s="9" t="n">
        <v>185</v>
      </c>
      <c r="AD6" s="13"/>
      <c r="AE6" s="14" t="n">
        <v>11.17</v>
      </c>
      <c r="AF6" s="14" t="n">
        <v>0.552</v>
      </c>
      <c r="AG6" s="15" t="n">
        <v>20.66666667</v>
      </c>
      <c r="AH6" s="1" t="n">
        <v>26.3142857142857</v>
      </c>
      <c r="AI6" s="14" t="n">
        <v>109.736879084613</v>
      </c>
      <c r="AJ6" s="14" t="n">
        <v>102.987440300585</v>
      </c>
      <c r="AK6" s="14" t="n">
        <v>53.358811217357</v>
      </c>
      <c r="AL6" s="13" t="n">
        <v>0.697</v>
      </c>
      <c r="AM6" s="16" t="n">
        <v>18</v>
      </c>
      <c r="AN6" s="14" t="n">
        <v>20.4</v>
      </c>
      <c r="AO6" s="17" t="n">
        <v>0.5945</v>
      </c>
      <c r="AP6" s="18" t="n">
        <v>13</v>
      </c>
      <c r="AQ6" s="14" t="n">
        <v>20.39</v>
      </c>
      <c r="AR6" s="19" t="n">
        <v>0.375824175824176</v>
      </c>
      <c r="AS6" s="19" t="n">
        <v>0.361</v>
      </c>
      <c r="AT6" s="14" t="n">
        <v>87.65</v>
      </c>
    </row>
    <row r="7" customFormat="false" ht="12.75" hidden="false" customHeight="false" outlineLevel="0" collapsed="false">
      <c r="A7" s="1" t="s">
        <v>25</v>
      </c>
      <c r="B7" s="1" t="n">
        <v>1172</v>
      </c>
      <c r="C7" s="1"/>
      <c r="D7" s="1" t="n">
        <v>12</v>
      </c>
      <c r="E7" s="1" t="n">
        <v>2446</v>
      </c>
      <c r="F7" s="1" t="n">
        <v>8</v>
      </c>
      <c r="G7" s="1" t="n">
        <v>8</v>
      </c>
      <c r="H7" s="13" t="n">
        <v>2.06</v>
      </c>
      <c r="I7" s="1" t="n">
        <v>117.4</v>
      </c>
      <c r="J7" s="1" t="n">
        <v>102.5</v>
      </c>
      <c r="K7" s="0" t="n">
        <f aca="false">I7-J7</f>
        <v>14.9</v>
      </c>
      <c r="L7" s="1" t="n">
        <v>0.62</v>
      </c>
      <c r="M7" s="1" t="n">
        <v>11.29</v>
      </c>
      <c r="N7" s="1" t="n">
        <v>354</v>
      </c>
      <c r="O7" s="1" t="n">
        <v>9.6</v>
      </c>
      <c r="P7" s="8" t="n">
        <v>0.656</v>
      </c>
      <c r="Q7" s="1" t="n">
        <v>1050</v>
      </c>
      <c r="R7" s="1" t="n">
        <v>539</v>
      </c>
      <c r="S7" s="0" t="n">
        <f aca="false">ROUND(E7/32, 1)</f>
        <v>76.4</v>
      </c>
      <c r="T7" s="1" t="n">
        <v>67.9</v>
      </c>
      <c r="U7" s="1" t="n">
        <v>481</v>
      </c>
      <c r="V7" s="9" t="n">
        <v>856</v>
      </c>
      <c r="W7" s="10" t="n">
        <v>0</v>
      </c>
      <c r="X7" s="9" t="n">
        <v>1763</v>
      </c>
      <c r="Y7" s="11" t="n">
        <v>1.73205080756888</v>
      </c>
      <c r="Z7" s="1" t="n">
        <v>0.486</v>
      </c>
      <c r="AA7" s="12" t="n">
        <f aca="false">+8.9</f>
        <v>8.9</v>
      </c>
      <c r="AB7" s="1" t="n">
        <v>0</v>
      </c>
      <c r="AC7" s="9" t="n">
        <v>149</v>
      </c>
      <c r="AD7" s="13"/>
      <c r="AE7" s="14" t="n">
        <v>1.88</v>
      </c>
      <c r="AF7" s="14" t="n">
        <v>0.607</v>
      </c>
      <c r="AG7" s="15" t="n">
        <v>76.22222222</v>
      </c>
      <c r="AH7" s="1" t="n">
        <v>26.060606060606</v>
      </c>
      <c r="AI7" s="14" t="n">
        <v>123.206817915737</v>
      </c>
      <c r="AJ7" s="14" t="n">
        <v>106.843368786139</v>
      </c>
      <c r="AK7" s="14" t="n">
        <v>61.1382519434431</v>
      </c>
      <c r="AL7" s="13" t="n">
        <v>0.797</v>
      </c>
      <c r="AM7" s="16" t="n">
        <v>45</v>
      </c>
      <c r="AN7" s="14" t="n">
        <v>14.9</v>
      </c>
      <c r="AO7" s="17" t="n">
        <v>0.5311</v>
      </c>
      <c r="AP7" s="18" t="n">
        <v>9.6</v>
      </c>
      <c r="AQ7" s="14" t="n">
        <v>14.91</v>
      </c>
      <c r="AR7" s="19" t="n">
        <v>0.674903474903475</v>
      </c>
      <c r="AS7" s="19" t="n">
        <v>0.391</v>
      </c>
      <c r="AT7" s="14" t="n">
        <v>82.09</v>
      </c>
    </row>
    <row r="8" customFormat="false" ht="12.75" hidden="false" customHeight="false" outlineLevel="0" collapsed="false">
      <c r="A8" s="1" t="s">
        <v>26</v>
      </c>
      <c r="B8" s="1" t="n">
        <v>1112</v>
      </c>
      <c r="C8" s="1"/>
      <c r="D8" s="1" t="n">
        <v>4</v>
      </c>
      <c r="E8" s="1" t="n">
        <v>2750</v>
      </c>
      <c r="F8" s="1" t="n">
        <v>8</v>
      </c>
      <c r="G8" s="1" t="n">
        <v>10</v>
      </c>
      <c r="H8" s="1" t="n">
        <v>7.22</v>
      </c>
      <c r="I8" s="1" t="n">
        <v>119</v>
      </c>
      <c r="J8" s="1" t="n">
        <v>99.6</v>
      </c>
      <c r="K8" s="0" t="n">
        <f aca="false">I8-J8</f>
        <v>19.4</v>
      </c>
      <c r="L8" s="1" t="n">
        <v>0.754</v>
      </c>
      <c r="M8" s="1" t="n">
        <v>16.82</v>
      </c>
      <c r="N8" s="1" t="n">
        <v>555</v>
      </c>
      <c r="O8" s="1" t="n">
        <v>12.3</v>
      </c>
      <c r="P8" s="8" t="n">
        <v>0.794</v>
      </c>
      <c r="Q8" s="1" t="n">
        <v>1246</v>
      </c>
      <c r="R8" s="1" t="n">
        <v>518</v>
      </c>
      <c r="S8" s="0" t="n">
        <f aca="false">ROUND(E8/34, 1)</f>
        <v>80.9</v>
      </c>
      <c r="T8" s="1" t="n">
        <v>71.2</v>
      </c>
      <c r="U8" s="1" t="n">
        <v>592</v>
      </c>
      <c r="V8" s="9" t="n">
        <v>624</v>
      </c>
      <c r="W8" s="10" t="n">
        <v>0</v>
      </c>
      <c r="X8" s="9" t="n">
        <v>1940</v>
      </c>
      <c r="Y8" s="11" t="n">
        <v>2.44948974278318</v>
      </c>
      <c r="Z8" s="1" t="n">
        <v>0.505</v>
      </c>
      <c r="AA8" s="12" t="n">
        <f aca="false">+9.7</f>
        <v>9.7</v>
      </c>
      <c r="AB8" s="1" t="n">
        <v>1</v>
      </c>
      <c r="AC8" s="9" t="n">
        <v>168</v>
      </c>
      <c r="AD8" s="13"/>
      <c r="AE8" s="14" t="n">
        <v>6.33</v>
      </c>
      <c r="AF8" s="14" t="n">
        <v>0.601</v>
      </c>
      <c r="AG8" s="15" t="n">
        <v>21</v>
      </c>
      <c r="AH8" s="1" t="n">
        <v>26.7428571428571</v>
      </c>
      <c r="AI8" s="14" t="n">
        <v>122.709884149058</v>
      </c>
      <c r="AJ8" s="14" t="n">
        <v>106.952898783821</v>
      </c>
      <c r="AK8" s="14" t="n">
        <v>61.4413680009433</v>
      </c>
      <c r="AL8" s="13" t="n">
        <v>0.761</v>
      </c>
      <c r="AM8" s="16" t="n">
        <v>12</v>
      </c>
      <c r="AN8" s="14" t="n">
        <v>19.4</v>
      </c>
      <c r="AO8" s="17" t="n">
        <v>0.5601</v>
      </c>
      <c r="AP8" s="18" t="n">
        <v>12.3</v>
      </c>
      <c r="AQ8" s="14" t="n">
        <v>19.36</v>
      </c>
      <c r="AR8" s="19" t="n">
        <v>0.452173913043478</v>
      </c>
      <c r="AS8" s="19" t="n">
        <v>0.377</v>
      </c>
      <c r="AT8" s="14" t="n">
        <v>87.26</v>
      </c>
    </row>
    <row r="9" customFormat="false" ht="12.75" hidden="false" customHeight="false" outlineLevel="0" collapsed="false">
      <c r="A9" s="1" t="s">
        <v>27</v>
      </c>
      <c r="B9" s="1" t="n">
        <v>1138</v>
      </c>
      <c r="C9" s="1"/>
      <c r="D9" s="1" t="n">
        <v>13</v>
      </c>
      <c r="E9" s="1" t="n">
        <v>2883</v>
      </c>
      <c r="F9" s="1" t="n">
        <v>8</v>
      </c>
      <c r="G9" s="1" t="n">
        <v>1</v>
      </c>
      <c r="H9" s="13" t="n">
        <v>-0.55</v>
      </c>
      <c r="I9" s="1" t="n">
        <v>114.3</v>
      </c>
      <c r="J9" s="1" t="n">
        <v>103.8</v>
      </c>
      <c r="K9" s="0" t="n">
        <f aca="false">I9-J9</f>
        <v>10.5</v>
      </c>
      <c r="L9" s="1" t="n">
        <v>0.624</v>
      </c>
      <c r="M9" s="1" t="n">
        <v>7.62</v>
      </c>
      <c r="N9" s="1" t="n">
        <v>464</v>
      </c>
      <c r="O9" s="1" t="n">
        <v>12.5</v>
      </c>
      <c r="P9" s="1" t="n">
        <v>0.765</v>
      </c>
      <c r="Q9" s="1" t="n">
        <v>1326</v>
      </c>
      <c r="R9" s="1" t="n">
        <v>576</v>
      </c>
      <c r="S9" s="0" t="n">
        <f aca="false">ROUND(E9/34, 1)</f>
        <v>84.8</v>
      </c>
      <c r="T9" s="1" t="n">
        <v>76.5</v>
      </c>
      <c r="U9" s="1" t="n">
        <v>719</v>
      </c>
      <c r="V9" s="9" t="n">
        <v>887</v>
      </c>
      <c r="W9" s="10" t="n">
        <v>0</v>
      </c>
      <c r="X9" s="9" t="n">
        <v>2205</v>
      </c>
      <c r="Y9" s="11" t="n">
        <v>0</v>
      </c>
      <c r="Z9" s="1" t="n">
        <v>0.474</v>
      </c>
      <c r="AA9" s="12" t="n">
        <f aca="false">+8.2</f>
        <v>8.2</v>
      </c>
      <c r="AB9" s="1" t="n">
        <v>0</v>
      </c>
      <c r="AC9" s="9" t="n">
        <v>217</v>
      </c>
      <c r="AD9" s="13"/>
      <c r="AE9" s="14" t="n">
        <v>-1.02</v>
      </c>
      <c r="AF9" s="14" t="n">
        <v>0.572</v>
      </c>
      <c r="AG9" s="15" t="n">
        <v>74</v>
      </c>
      <c r="AH9" s="1" t="n">
        <v>26.6470588235294</v>
      </c>
      <c r="AI9" s="14" t="n">
        <v>119.406922984249</v>
      </c>
      <c r="AJ9" s="14" t="n">
        <v>107.84880526731</v>
      </c>
      <c r="AK9" s="14" t="n">
        <v>57.5099594721926</v>
      </c>
      <c r="AL9" s="13" t="n">
        <v>0.697</v>
      </c>
      <c r="AM9" s="16" t="n">
        <v>36</v>
      </c>
      <c r="AN9" s="14" t="n">
        <v>10.5</v>
      </c>
      <c r="AO9" s="17" t="n">
        <v>0.5388</v>
      </c>
      <c r="AP9" s="18" t="n">
        <v>12.5</v>
      </c>
      <c r="AQ9" s="14" t="n">
        <v>10.58</v>
      </c>
      <c r="AR9" s="19" t="n">
        <v>0.645090909090909</v>
      </c>
      <c r="AS9" s="19" t="n">
        <v>0.371</v>
      </c>
      <c r="AT9" s="14" t="n">
        <v>79.18</v>
      </c>
    </row>
    <row r="10" customFormat="false" ht="12.75" hidden="false" customHeight="false" outlineLevel="0" collapsed="false">
      <c r="A10" s="1" t="s">
        <v>28</v>
      </c>
      <c r="B10" s="1" t="n">
        <v>1274</v>
      </c>
      <c r="C10" s="1"/>
      <c r="D10" s="1" t="n">
        <v>6</v>
      </c>
      <c r="E10" s="1" t="n">
        <v>2299</v>
      </c>
      <c r="F10" s="1" t="n">
        <v>6</v>
      </c>
      <c r="G10" s="1" t="n">
        <v>8</v>
      </c>
      <c r="H10" s="13" t="n">
        <v>7.15</v>
      </c>
      <c r="I10" s="1" t="n">
        <v>113.3</v>
      </c>
      <c r="J10" s="1" t="n">
        <v>97.6</v>
      </c>
      <c r="K10" s="0" t="n">
        <f aca="false">I10-J10</f>
        <v>15.7</v>
      </c>
      <c r="L10" s="1" t="n">
        <v>0.609</v>
      </c>
      <c r="M10" s="1" t="n">
        <v>13.27</v>
      </c>
      <c r="N10" s="1" t="n">
        <v>354</v>
      </c>
      <c r="O10" s="1" t="n">
        <v>11.3</v>
      </c>
      <c r="P10" s="8" t="n">
        <v>0.71</v>
      </c>
      <c r="Q10" s="1" t="n">
        <v>1080</v>
      </c>
      <c r="R10" s="1" t="n">
        <v>413</v>
      </c>
      <c r="S10" s="0" t="n">
        <f aca="false">ROUND(E10/31, 1)</f>
        <v>74.2</v>
      </c>
      <c r="T10" s="1" t="n">
        <v>68</v>
      </c>
      <c r="U10" s="1" t="n">
        <v>505</v>
      </c>
      <c r="V10" s="9" t="n">
        <v>669</v>
      </c>
      <c r="W10" s="10" t="n">
        <v>1</v>
      </c>
      <c r="X10" s="9" t="n">
        <v>1832</v>
      </c>
      <c r="Y10" s="11" t="n">
        <v>2.23606797749979</v>
      </c>
      <c r="Z10" s="1" t="n">
        <v>0.464</v>
      </c>
      <c r="AA10" s="12" t="n">
        <f aca="false">+6.1</f>
        <v>6.1</v>
      </c>
      <c r="AB10" s="1" t="n">
        <v>1</v>
      </c>
      <c r="AC10" s="9" t="n">
        <v>203</v>
      </c>
      <c r="AD10" s="13"/>
      <c r="AE10" s="14" t="n">
        <v>8.17</v>
      </c>
      <c r="AF10" s="14" t="n">
        <v>0.551</v>
      </c>
      <c r="AG10" s="15" t="n">
        <v>26.66666667</v>
      </c>
      <c r="AH10" s="1" t="n">
        <v>25.21875</v>
      </c>
      <c r="AI10" s="14" t="n">
        <v>113.359727236131</v>
      </c>
      <c r="AJ10" s="14" t="n">
        <v>102.968384824235</v>
      </c>
      <c r="AK10" s="14" t="n">
        <v>55.7056430329517</v>
      </c>
      <c r="AL10" s="13" t="n">
        <v>0.663</v>
      </c>
      <c r="AM10" s="16" t="n">
        <v>22</v>
      </c>
      <c r="AN10" s="14" t="n">
        <v>15.7</v>
      </c>
      <c r="AO10" s="17" t="n">
        <v>0.5605</v>
      </c>
      <c r="AP10" s="18" t="n">
        <v>11.3</v>
      </c>
      <c r="AQ10" s="14" t="n">
        <v>15.71</v>
      </c>
      <c r="AR10" s="19" t="n">
        <v>0.5352</v>
      </c>
      <c r="AS10" s="19" t="n">
        <v>0.363</v>
      </c>
      <c r="AT10" s="14" t="n">
        <v>84.84</v>
      </c>
    </row>
    <row r="11" customFormat="false" ht="12.75" hidden="false" customHeight="false" outlineLevel="0" collapsed="false">
      <c r="A11" s="1" t="s">
        <v>29</v>
      </c>
      <c r="B11" s="1" t="n">
        <v>1260</v>
      </c>
      <c r="C11" s="1"/>
      <c r="D11" s="1" t="n">
        <v>11</v>
      </c>
      <c r="E11" s="1" t="n">
        <v>2390</v>
      </c>
      <c r="F11" s="1" t="n">
        <v>10</v>
      </c>
      <c r="G11" s="1" t="n">
        <v>0</v>
      </c>
      <c r="H11" s="13" t="n">
        <v>-0.27</v>
      </c>
      <c r="I11" s="1" t="n">
        <v>111.3</v>
      </c>
      <c r="J11" s="1" t="n">
        <v>96.2</v>
      </c>
      <c r="K11" s="0" t="n">
        <f aca="false">I11-J11</f>
        <v>15.1</v>
      </c>
      <c r="L11" s="1" t="n">
        <v>0.513</v>
      </c>
      <c r="M11" s="1" t="n">
        <v>-0.25</v>
      </c>
      <c r="N11" s="1" t="n">
        <v>406</v>
      </c>
      <c r="O11" s="1" t="n">
        <v>12.2</v>
      </c>
      <c r="P11" s="8" t="n">
        <v>0.848</v>
      </c>
      <c r="Q11" s="1" t="n">
        <v>1067</v>
      </c>
      <c r="R11" s="1" t="n">
        <v>519</v>
      </c>
      <c r="S11" s="0" t="n">
        <f aca="false">ROUND(E11/33, 1)</f>
        <v>72.4</v>
      </c>
      <c r="T11" s="1" t="n">
        <v>62</v>
      </c>
      <c r="U11" s="1" t="n">
        <v>456</v>
      </c>
      <c r="V11" s="9" t="n">
        <v>618</v>
      </c>
      <c r="W11" s="10" t="n">
        <v>0</v>
      </c>
      <c r="X11" s="9" t="n">
        <v>1714</v>
      </c>
      <c r="Y11" s="11" t="n">
        <v>1.73205080756888</v>
      </c>
      <c r="Z11" s="1" t="n">
        <v>0.507</v>
      </c>
      <c r="AA11" s="12" t="n">
        <f aca="false">+9.7</f>
        <v>9.7</v>
      </c>
      <c r="AB11" s="1" t="n">
        <v>0</v>
      </c>
      <c r="AC11" s="9" t="n">
        <v>219</v>
      </c>
      <c r="AD11" s="13"/>
      <c r="AE11" s="14" t="n">
        <v>0.07</v>
      </c>
      <c r="AF11" s="14" t="n">
        <v>0.603</v>
      </c>
      <c r="AG11" s="15" t="n">
        <v>43.66666667</v>
      </c>
      <c r="AH11" s="1" t="n">
        <v>25.6060606060606</v>
      </c>
      <c r="AI11" s="14" t="n">
        <v>114.247467857869</v>
      </c>
      <c r="AJ11" s="14" t="n">
        <v>99.0124966468334</v>
      </c>
      <c r="AK11" s="14" t="n">
        <v>61.1233291146153</v>
      </c>
      <c r="AL11" s="13" t="n">
        <v>0.724</v>
      </c>
      <c r="AM11" s="16" t="n">
        <v>27</v>
      </c>
      <c r="AN11" s="14" t="n">
        <v>15.1</v>
      </c>
      <c r="AO11" s="17" t="n">
        <v>0.5122</v>
      </c>
      <c r="AP11" s="18" t="n">
        <v>12.2</v>
      </c>
      <c r="AQ11" s="14" t="n">
        <v>15.09</v>
      </c>
      <c r="AR11" s="19" t="n">
        <v>0.468181818181818</v>
      </c>
      <c r="AS11" s="19" t="n">
        <v>0.398</v>
      </c>
      <c r="AT11" s="14" t="n">
        <v>80.3</v>
      </c>
    </row>
    <row r="12" customFormat="false" ht="12.75" hidden="false" customHeight="false" outlineLevel="0" collapsed="false">
      <c r="A12" s="1" t="s">
        <v>30</v>
      </c>
      <c r="B12" s="1" t="n">
        <v>1397</v>
      </c>
      <c r="C12" s="1"/>
      <c r="D12" s="1" t="n">
        <v>3</v>
      </c>
      <c r="E12" s="1" t="n">
        <v>2449</v>
      </c>
      <c r="F12" s="1" t="n">
        <v>7</v>
      </c>
      <c r="G12" s="1" t="n">
        <v>22</v>
      </c>
      <c r="H12" s="13" t="n">
        <v>10.59</v>
      </c>
      <c r="I12" s="1" t="n">
        <v>114.8</v>
      </c>
      <c r="J12" s="1" t="n">
        <v>92.7</v>
      </c>
      <c r="K12" s="0" t="n">
        <f aca="false">I12-J12</f>
        <v>22.1</v>
      </c>
      <c r="L12" s="1" t="n">
        <v>0.649</v>
      </c>
      <c r="M12" s="1" t="n">
        <v>8.2</v>
      </c>
      <c r="N12" s="1" t="n">
        <v>524</v>
      </c>
      <c r="O12" s="1" t="n">
        <v>12.2</v>
      </c>
      <c r="P12" s="8" t="n">
        <v>0.758</v>
      </c>
      <c r="Q12" s="1" t="n">
        <v>1194</v>
      </c>
      <c r="R12" s="1" t="n">
        <v>522</v>
      </c>
      <c r="S12" s="0" t="n">
        <f aca="false">ROUND(E12/33, 1)</f>
        <v>74.2</v>
      </c>
      <c r="T12" s="1" t="n">
        <v>66.1</v>
      </c>
      <c r="U12" s="1" t="n">
        <v>646</v>
      </c>
      <c r="V12" s="9" t="n">
        <v>648</v>
      </c>
      <c r="W12" s="10" t="n">
        <v>1</v>
      </c>
      <c r="X12" s="9" t="n">
        <v>1835</v>
      </c>
      <c r="Y12" s="11" t="n">
        <v>3</v>
      </c>
      <c r="Z12" s="1" t="n">
        <v>0.441</v>
      </c>
      <c r="AA12" s="12" t="n">
        <f aca="false">+7.8</f>
        <v>7.8</v>
      </c>
      <c r="AB12" s="1" t="n">
        <v>1</v>
      </c>
      <c r="AC12" s="9" t="n">
        <v>204</v>
      </c>
      <c r="AD12" s="13"/>
      <c r="AE12" s="14" t="n">
        <v>11.62</v>
      </c>
      <c r="AF12" s="14" t="n">
        <v>0.552</v>
      </c>
      <c r="AG12" s="15" t="n">
        <v>12.66666667</v>
      </c>
      <c r="AH12" s="1" t="n">
        <v>24.6176470588235</v>
      </c>
      <c r="AI12" s="14" t="n">
        <v>116.146402666624</v>
      </c>
      <c r="AJ12" s="14" t="n">
        <v>102.489212460137</v>
      </c>
      <c r="AK12" s="14" t="n">
        <v>56.2788978909057</v>
      </c>
      <c r="AL12" s="13" t="n">
        <v>0.756</v>
      </c>
      <c r="AM12" s="16" t="n">
        <v>13</v>
      </c>
      <c r="AN12" s="14" t="n">
        <v>22.1</v>
      </c>
      <c r="AO12" s="17" t="n">
        <v>0.5804</v>
      </c>
      <c r="AP12" s="18" t="n">
        <v>12.2</v>
      </c>
      <c r="AQ12" s="14" t="n">
        <v>22.15</v>
      </c>
      <c r="AR12" s="19" t="n">
        <v>0.507518796992481</v>
      </c>
      <c r="AS12" s="19" t="n">
        <v>0.384</v>
      </c>
      <c r="AT12" s="14" t="n">
        <v>86.46</v>
      </c>
    </row>
    <row r="13" customFormat="false" ht="12.75" hidden="false" customHeight="false" outlineLevel="0" collapsed="false">
      <c r="A13" s="1" t="s">
        <v>31</v>
      </c>
      <c r="B13" s="1" t="n">
        <v>1460</v>
      </c>
      <c r="C13" s="1"/>
      <c r="D13" s="1" t="n">
        <v>14</v>
      </c>
      <c r="E13" s="1" t="n">
        <v>2453</v>
      </c>
      <c r="F13" s="1" t="n">
        <v>8</v>
      </c>
      <c r="G13" s="1" t="n">
        <v>3</v>
      </c>
      <c r="H13" s="13" t="n">
        <v>-4.41</v>
      </c>
      <c r="I13" s="1" t="n">
        <v>101.1</v>
      </c>
      <c r="J13" s="1" t="n">
        <v>98.3</v>
      </c>
      <c r="K13" s="0" t="n">
        <f aca="false">I13-J13</f>
        <v>2.8</v>
      </c>
      <c r="L13" s="1" t="n">
        <v>0.561</v>
      </c>
      <c r="M13" s="1" t="n">
        <v>0.74</v>
      </c>
      <c r="N13" s="1" t="n">
        <v>512</v>
      </c>
      <c r="O13" s="1" t="n">
        <v>13.1</v>
      </c>
      <c r="P13" s="8" t="n">
        <v>0.735</v>
      </c>
      <c r="Q13" s="1" t="n">
        <v>1235</v>
      </c>
      <c r="R13" s="1" t="n">
        <v>451</v>
      </c>
      <c r="S13" s="0" t="n">
        <f aca="false">ROUND(E13/34, 1)</f>
        <v>72.1</v>
      </c>
      <c r="T13" s="13" t="n">
        <v>66.2</v>
      </c>
      <c r="U13" s="1" t="n">
        <v>541</v>
      </c>
      <c r="V13" s="9" t="n">
        <v>682</v>
      </c>
      <c r="W13" s="10" t="n">
        <v>0</v>
      </c>
      <c r="X13" s="9" t="n">
        <v>1959</v>
      </c>
      <c r="Y13" s="11" t="n">
        <v>0</v>
      </c>
      <c r="Z13" s="1" t="n">
        <v>0.436</v>
      </c>
      <c r="AA13" s="12" t="n">
        <f aca="false">+5.2</f>
        <v>5.2</v>
      </c>
      <c r="AB13" s="1" t="n">
        <v>0</v>
      </c>
      <c r="AC13" s="9" t="n">
        <v>226</v>
      </c>
      <c r="AD13" s="13"/>
      <c r="AE13" s="14" t="n">
        <v>-4.78</v>
      </c>
      <c r="AF13" s="14" t="n">
        <v>0.534</v>
      </c>
      <c r="AG13" s="15" t="n">
        <v>131.1111111</v>
      </c>
      <c r="AH13" s="1" t="n">
        <v>25.9090909090909</v>
      </c>
      <c r="AI13" s="14" t="n">
        <v>106.687684348392</v>
      </c>
      <c r="AJ13" s="14" t="n">
        <v>99.3958786970799</v>
      </c>
      <c r="AK13" s="14" t="n">
        <v>53.8811202296623</v>
      </c>
      <c r="AL13" s="13" t="n">
        <v>0.717</v>
      </c>
      <c r="AM13" s="16" t="n">
        <v>47</v>
      </c>
      <c r="AN13" s="14" t="n">
        <v>2.8</v>
      </c>
      <c r="AO13" s="17" t="n">
        <v>0.4704</v>
      </c>
      <c r="AP13" s="18" t="n">
        <v>13.1</v>
      </c>
      <c r="AQ13" s="14" t="n">
        <v>2.81</v>
      </c>
      <c r="AR13" s="19" t="n">
        <v>0.497810218978102</v>
      </c>
      <c r="AS13" s="19" t="n">
        <v>0.342</v>
      </c>
      <c r="AT13" s="14" t="n">
        <v>73.38</v>
      </c>
    </row>
    <row r="14" customFormat="false" ht="12.75" hidden="false" customHeight="false" outlineLevel="0" collapsed="false">
      <c r="A14" s="1" t="s">
        <v>32</v>
      </c>
      <c r="B14" s="1" t="n">
        <v>1305</v>
      </c>
      <c r="C14" s="1"/>
      <c r="D14" s="1" t="n">
        <v>7</v>
      </c>
      <c r="E14" s="1" t="n">
        <v>2825</v>
      </c>
      <c r="F14" s="1" t="n">
        <v>7</v>
      </c>
      <c r="G14" s="1" t="n">
        <v>1</v>
      </c>
      <c r="H14" s="20" t="n">
        <v>4.35</v>
      </c>
      <c r="I14" s="1" t="n">
        <v>119.9</v>
      </c>
      <c r="J14" s="1" t="n">
        <v>101.7</v>
      </c>
      <c r="K14" s="0" t="n">
        <f aca="false">I14-J14</f>
        <v>18.2</v>
      </c>
      <c r="L14" s="1" t="n">
        <v>0.738</v>
      </c>
      <c r="M14" s="1" t="n">
        <v>14.55</v>
      </c>
      <c r="N14" s="1" t="n">
        <v>569</v>
      </c>
      <c r="O14" s="1" t="n">
        <v>9.9</v>
      </c>
      <c r="P14" s="8" t="n">
        <v>0.794</v>
      </c>
      <c r="Q14" s="1" t="n">
        <v>1225</v>
      </c>
      <c r="R14" s="1" t="n">
        <v>559</v>
      </c>
      <c r="S14" s="0" t="n">
        <f aca="false">ROUND(E14/34, 1)</f>
        <v>83.1</v>
      </c>
      <c r="T14" s="1" t="n">
        <v>72.9</v>
      </c>
      <c r="U14" s="1" t="n">
        <v>586</v>
      </c>
      <c r="V14" s="9" t="n">
        <v>830</v>
      </c>
      <c r="W14" s="10" t="n">
        <v>0</v>
      </c>
      <c r="X14" s="9" t="n">
        <v>2056</v>
      </c>
      <c r="Y14" s="11" t="n">
        <v>1.4142135623731</v>
      </c>
      <c r="Z14" s="1" t="n">
        <v>0.468</v>
      </c>
      <c r="AA14" s="12" t="n">
        <f aca="false">+10.2</f>
        <v>10.2</v>
      </c>
      <c r="AB14" s="1" t="n">
        <v>0</v>
      </c>
      <c r="AC14" s="9" t="n">
        <v>213</v>
      </c>
      <c r="AD14" s="13"/>
      <c r="AE14" s="14" t="n">
        <v>4.45</v>
      </c>
      <c r="AF14" s="14" t="n">
        <v>0.584</v>
      </c>
      <c r="AG14" s="15" t="n">
        <v>25.88888889</v>
      </c>
      <c r="AH14" s="1" t="n">
        <v>26.6</v>
      </c>
      <c r="AI14" s="14" t="n">
        <v>122.301486194688</v>
      </c>
      <c r="AJ14" s="14" t="n">
        <v>106.499630194227</v>
      </c>
      <c r="AK14" s="14" t="n">
        <v>59.3562196356615</v>
      </c>
      <c r="AL14" s="13" t="n">
        <v>0.747</v>
      </c>
      <c r="AM14" s="16" t="n">
        <v>24</v>
      </c>
      <c r="AN14" s="14" t="n">
        <v>18.2</v>
      </c>
      <c r="AO14" s="17" t="n">
        <v>0.5528</v>
      </c>
      <c r="AP14" s="18" t="n">
        <v>9.9</v>
      </c>
      <c r="AQ14" s="14" t="n">
        <v>18.17</v>
      </c>
      <c r="AR14" s="19" t="n">
        <v>0.603636363636364</v>
      </c>
      <c r="AS14" s="19" t="n">
        <v>0.398</v>
      </c>
      <c r="AT14" s="14" t="n">
        <v>84.06</v>
      </c>
    </row>
    <row r="15" customFormat="false" ht="12.75" hidden="false" customHeight="false" outlineLevel="0" collapsed="false">
      <c r="A15" s="1" t="s">
        <v>33</v>
      </c>
      <c r="B15" s="1" t="n">
        <v>1400</v>
      </c>
      <c r="C15" s="1"/>
      <c r="D15" s="1" t="n">
        <v>10</v>
      </c>
      <c r="E15" s="1" t="n">
        <v>2637</v>
      </c>
      <c r="F15" s="1" t="n">
        <v>4</v>
      </c>
      <c r="G15" s="1" t="n">
        <v>6</v>
      </c>
      <c r="H15" s="9" t="n">
        <v>10.93</v>
      </c>
      <c r="I15" s="1" t="n">
        <v>109.4</v>
      </c>
      <c r="J15" s="1" t="n">
        <v>93.9</v>
      </c>
      <c r="K15" s="0" t="n">
        <f aca="false">I15-J15</f>
        <v>15.5</v>
      </c>
      <c r="L15" s="1" t="n">
        <v>0.67</v>
      </c>
      <c r="M15" s="1" t="n">
        <v>14.44</v>
      </c>
      <c r="N15" s="1" t="n">
        <v>431</v>
      </c>
      <c r="O15" s="1" t="n">
        <v>11.8</v>
      </c>
      <c r="P15" s="8" t="n">
        <v>0.576</v>
      </c>
      <c r="Q15" s="1" t="n">
        <v>1175</v>
      </c>
      <c r="R15" s="1" t="n">
        <v>381</v>
      </c>
      <c r="S15" s="0" t="n">
        <f aca="false">ROUND(E15/33, 1)</f>
        <v>79.9</v>
      </c>
      <c r="T15" s="1" t="n">
        <v>68.2</v>
      </c>
      <c r="U15" s="1" t="n">
        <v>531</v>
      </c>
      <c r="V15" s="9" t="n">
        <v>742</v>
      </c>
      <c r="W15" s="10" t="n">
        <v>1</v>
      </c>
      <c r="X15" s="9" t="n">
        <v>1943</v>
      </c>
      <c r="Y15" s="11" t="n">
        <v>2.82842712474619</v>
      </c>
      <c r="Z15" s="1" t="n">
        <v>0.438</v>
      </c>
      <c r="AA15" s="12" t="n">
        <f aca="false">+3.5</f>
        <v>3.5</v>
      </c>
      <c r="AB15" s="1" t="n">
        <v>1</v>
      </c>
      <c r="AC15" s="9" t="n">
        <v>205</v>
      </c>
      <c r="AD15" s="13"/>
      <c r="AE15" s="14" t="n">
        <v>11.77</v>
      </c>
      <c r="AF15" s="14" t="n">
        <v>0.526</v>
      </c>
      <c r="AG15" s="15" t="n">
        <v>38.66666667</v>
      </c>
      <c r="AH15" s="1" t="n">
        <v>25.3235294117647</v>
      </c>
      <c r="AI15" s="14" t="n">
        <v>109.736879084613</v>
      </c>
      <c r="AJ15" s="14" t="n">
        <v>102.987440300585</v>
      </c>
      <c r="AK15" s="14" t="n">
        <v>53.358811217357</v>
      </c>
      <c r="AL15" s="13" t="n">
        <v>0.668</v>
      </c>
      <c r="AM15" s="16" t="n">
        <v>47</v>
      </c>
      <c r="AN15" s="14" t="n">
        <v>15.5</v>
      </c>
      <c r="AO15" s="17" t="n">
        <v>0.5812</v>
      </c>
      <c r="AP15" s="18" t="n">
        <v>11.8</v>
      </c>
      <c r="AQ15" s="14" t="n">
        <v>15.46</v>
      </c>
      <c r="AR15" s="19" t="n">
        <v>0.543589743589743</v>
      </c>
      <c r="AS15" s="19" t="n">
        <v>0.315</v>
      </c>
      <c r="AT15" s="14" t="n">
        <v>84.72</v>
      </c>
    </row>
    <row r="16" customFormat="false" ht="12.75" hidden="false" customHeight="false" outlineLevel="0" collapsed="false">
      <c r="A16" s="1" t="s">
        <v>34</v>
      </c>
      <c r="B16" s="1" t="n">
        <v>1153</v>
      </c>
      <c r="C16" s="1"/>
      <c r="D16" s="1" t="n">
        <v>2</v>
      </c>
      <c r="E16" s="1" t="n">
        <v>2532</v>
      </c>
      <c r="F16" s="1" t="n">
        <v>8</v>
      </c>
      <c r="G16" s="1" t="n">
        <v>9</v>
      </c>
      <c r="H16" s="9" t="n">
        <v>3.15</v>
      </c>
      <c r="I16" s="1" t="n">
        <v>113.2</v>
      </c>
      <c r="J16" s="1" t="n">
        <v>86.2</v>
      </c>
      <c r="K16" s="0" t="n">
        <f aca="false">I16-J16</f>
        <v>27</v>
      </c>
      <c r="L16" s="1" t="n">
        <v>0.673</v>
      </c>
      <c r="M16" s="1" t="n">
        <v>20.86</v>
      </c>
      <c r="N16" s="1" t="n">
        <v>498</v>
      </c>
      <c r="O16" s="1" t="n">
        <v>11.5</v>
      </c>
      <c r="P16" s="8" t="n">
        <v>0.882</v>
      </c>
      <c r="Q16" s="1" t="n">
        <v>1323</v>
      </c>
      <c r="R16" s="1" t="n">
        <v>543</v>
      </c>
      <c r="S16" s="0" t="n">
        <f aca="false">ROUND(E16/34, 1)</f>
        <v>74.5</v>
      </c>
      <c r="T16" s="1" t="n">
        <v>57.2</v>
      </c>
      <c r="U16" s="1" t="n">
        <v>535</v>
      </c>
      <c r="V16" s="9" t="n">
        <v>681</v>
      </c>
      <c r="W16" s="10" t="n">
        <v>0</v>
      </c>
      <c r="X16" s="9" t="n">
        <v>1926</v>
      </c>
      <c r="Y16" s="11" t="n">
        <v>2.23606797749979</v>
      </c>
      <c r="Z16" s="1" t="n">
        <v>0.453</v>
      </c>
      <c r="AA16" s="12" t="n">
        <f aca="false">+17.3</f>
        <v>17.3</v>
      </c>
      <c r="AB16" s="1" t="n">
        <v>0</v>
      </c>
      <c r="AC16" s="9" t="n">
        <v>244</v>
      </c>
      <c r="AD16" s="13"/>
      <c r="AE16" s="14" t="n">
        <v>3.18</v>
      </c>
      <c r="AF16" s="14" t="n">
        <v>0.547</v>
      </c>
      <c r="AG16" s="15" t="n">
        <v>6</v>
      </c>
      <c r="AH16" s="1" t="n">
        <v>26.2571428571428</v>
      </c>
      <c r="AI16" s="14" t="n">
        <v>117.940065063748</v>
      </c>
      <c r="AJ16" s="14" t="n">
        <v>90.7821976711527</v>
      </c>
      <c r="AK16" s="14" t="n">
        <v>55.2954353766458</v>
      </c>
      <c r="AL16" s="13" t="n">
        <v>0.687</v>
      </c>
      <c r="AM16" s="16" t="n">
        <v>6</v>
      </c>
      <c r="AN16" s="14" t="n">
        <v>27</v>
      </c>
      <c r="AO16" s="17" t="n">
        <v>0.5564</v>
      </c>
      <c r="AP16" s="18" t="n">
        <v>11.5</v>
      </c>
      <c r="AQ16" s="14" t="n">
        <v>27</v>
      </c>
      <c r="AR16" s="19" t="n">
        <v>0.511029411764706</v>
      </c>
      <c r="AS16" s="19" t="n">
        <v>0.357</v>
      </c>
      <c r="AT16" s="14" t="n">
        <v>91.4</v>
      </c>
    </row>
    <row r="17" customFormat="false" ht="12.75" hidden="false" customHeight="false" outlineLevel="0" collapsed="false">
      <c r="A17" s="1" t="s">
        <v>35</v>
      </c>
      <c r="B17" s="1" t="n">
        <v>1209</v>
      </c>
      <c r="C17" s="1"/>
      <c r="D17" s="1" t="n">
        <v>15</v>
      </c>
      <c r="E17" s="1" t="n">
        <v>2561</v>
      </c>
      <c r="F17" s="1" t="n">
        <v>6</v>
      </c>
      <c r="G17" s="1" t="n">
        <v>2</v>
      </c>
      <c r="H17" s="9" t="n">
        <v>-3.4</v>
      </c>
      <c r="I17" s="1" t="n">
        <v>109</v>
      </c>
      <c r="J17" s="1" t="n">
        <v>101.8</v>
      </c>
      <c r="K17" s="0" t="n">
        <f aca="false">I17-J17</f>
        <v>7.2</v>
      </c>
      <c r="L17" s="1" t="n">
        <v>0.583</v>
      </c>
      <c r="M17" s="1" t="n">
        <v>3.42</v>
      </c>
      <c r="N17" s="1" t="n">
        <v>414</v>
      </c>
      <c r="O17" s="1" t="n">
        <v>11.4</v>
      </c>
      <c r="P17" s="8" t="n">
        <v>0.706</v>
      </c>
      <c r="Q17" s="1" t="n">
        <v>1156</v>
      </c>
      <c r="R17" s="1" t="n">
        <v>452</v>
      </c>
      <c r="S17" s="0" t="n">
        <f aca="false">ROUND(E17/34, 1)</f>
        <v>75.3</v>
      </c>
      <c r="T17" s="1" t="n">
        <v>68</v>
      </c>
      <c r="U17" s="1" t="n">
        <v>624</v>
      </c>
      <c r="V17" s="9" t="n">
        <v>795</v>
      </c>
      <c r="W17" s="10" t="n">
        <v>0</v>
      </c>
      <c r="X17" s="9" t="n">
        <v>1924</v>
      </c>
      <c r="Y17" s="11" t="n">
        <v>1</v>
      </c>
      <c r="Z17" s="1" t="n">
        <v>0.463</v>
      </c>
      <c r="AA17" s="12" t="n">
        <f aca="false">+6.7</f>
        <v>6.7</v>
      </c>
      <c r="AB17" s="1" t="n">
        <v>0</v>
      </c>
      <c r="AC17" s="9" t="n">
        <v>238</v>
      </c>
      <c r="AD17" s="13"/>
      <c r="AE17" s="14" t="n">
        <v>-2.79</v>
      </c>
      <c r="AF17" s="14" t="n">
        <v>0.564</v>
      </c>
      <c r="AG17" s="15" t="n">
        <v>130.5555556</v>
      </c>
      <c r="AH17" s="1" t="n">
        <v>24.8484848484848</v>
      </c>
      <c r="AI17" s="14" t="n">
        <v>114.269016320926</v>
      </c>
      <c r="AJ17" s="14" t="n">
        <v>102.867635500961</v>
      </c>
      <c r="AK17" s="14" t="n">
        <v>57.0345672616043</v>
      </c>
      <c r="AL17" s="13" t="n">
        <v>0.676</v>
      </c>
      <c r="AM17" s="16" t="n">
        <v>47</v>
      </c>
      <c r="AN17" s="14" t="n">
        <v>7.2</v>
      </c>
      <c r="AO17" s="17" t="n">
        <v>0.4593</v>
      </c>
      <c r="AP17" s="18" t="n">
        <v>11.4</v>
      </c>
      <c r="AQ17" s="14" t="n">
        <v>7.22</v>
      </c>
      <c r="AR17" s="19" t="n">
        <v>0.590545454545455</v>
      </c>
      <c r="AS17" s="19" t="n">
        <v>0.388</v>
      </c>
      <c r="AT17" s="14" t="n">
        <v>75.78</v>
      </c>
    </row>
    <row r="18" customFormat="false" ht="12.75" hidden="false" customHeight="false" outlineLevel="0" collapsed="false">
      <c r="A18" s="1" t="s">
        <v>36</v>
      </c>
      <c r="B18" s="1" t="n">
        <v>1462</v>
      </c>
      <c r="C18" s="1"/>
      <c r="D18" s="1" t="n">
        <v>1</v>
      </c>
      <c r="E18" s="1" t="n">
        <v>2781</v>
      </c>
      <c r="F18" s="1" t="n">
        <v>8</v>
      </c>
      <c r="G18" s="1" t="n">
        <v>7</v>
      </c>
      <c r="H18" s="9" t="n">
        <v>9.86</v>
      </c>
      <c r="I18" s="1" t="n">
        <v>120.7</v>
      </c>
      <c r="J18" s="1" t="n">
        <v>99</v>
      </c>
      <c r="K18" s="0" t="n">
        <f aca="false">I18-J18</f>
        <v>21.7</v>
      </c>
      <c r="L18" s="1" t="n">
        <v>0.69</v>
      </c>
      <c r="M18" s="1" t="n">
        <v>19.63</v>
      </c>
      <c r="N18" s="1" t="n">
        <v>617</v>
      </c>
      <c r="O18" s="1" t="n">
        <v>12.4</v>
      </c>
      <c r="P18" s="8" t="n">
        <v>0.848</v>
      </c>
      <c r="Q18" s="1" t="n">
        <v>1267</v>
      </c>
      <c r="R18" s="1" t="n">
        <v>549</v>
      </c>
      <c r="S18" s="0" t="n">
        <f aca="false">ROUND(E18/33, 1)</f>
        <v>84.3</v>
      </c>
      <c r="T18" s="1" t="n">
        <v>74.5</v>
      </c>
      <c r="U18" s="1" t="n">
        <v>558</v>
      </c>
      <c r="V18" s="9" t="n">
        <v>699</v>
      </c>
      <c r="W18" s="10" t="n">
        <v>0</v>
      </c>
      <c r="X18" s="9" t="n">
        <v>1942</v>
      </c>
      <c r="Y18" s="11" t="n">
        <v>3</v>
      </c>
      <c r="Z18" s="1" t="n">
        <v>0.491</v>
      </c>
      <c r="AA18" s="12" t="n">
        <f aca="false">+9.8</f>
        <v>9.8</v>
      </c>
      <c r="AB18" s="1" t="n">
        <v>1</v>
      </c>
      <c r="AC18" s="9" t="n">
        <v>193</v>
      </c>
      <c r="AD18" s="13"/>
      <c r="AE18" s="14" t="n">
        <v>9.62</v>
      </c>
      <c r="AF18" s="14" t="n">
        <v>0.601</v>
      </c>
      <c r="AG18" s="15" t="n">
        <v>7.222222222</v>
      </c>
      <c r="AH18" s="1" t="n">
        <v>28.7647058823529</v>
      </c>
      <c r="AI18" s="14" t="n">
        <v>122.241848148951</v>
      </c>
      <c r="AJ18" s="14" t="n">
        <v>106.416331656672</v>
      </c>
      <c r="AK18" s="14" t="n">
        <v>61.4834803333126</v>
      </c>
      <c r="AL18" s="13" t="n">
        <v>0.79</v>
      </c>
      <c r="AM18" s="16" t="n">
        <v>3</v>
      </c>
      <c r="AN18" s="14" t="n">
        <v>21.7</v>
      </c>
      <c r="AO18" s="17" t="n">
        <v>0.5883</v>
      </c>
      <c r="AP18" s="18" t="n">
        <v>12.4</v>
      </c>
      <c r="AQ18" s="14" t="n">
        <v>21.69</v>
      </c>
      <c r="AR18" s="19" t="n">
        <v>0.523595505617978</v>
      </c>
      <c r="AS18" s="19" t="n">
        <v>0.369</v>
      </c>
      <c r="AT18" s="14" t="n">
        <v>88.54</v>
      </c>
    </row>
    <row r="19" customFormat="false" ht="12.75" hidden="false" customHeight="false" outlineLevel="0" collapsed="false">
      <c r="A19" s="1" t="s">
        <v>37</v>
      </c>
      <c r="B19" s="1" t="n">
        <v>1300</v>
      </c>
      <c r="C19" s="1"/>
      <c r="D19" s="1" t="n">
        <v>16</v>
      </c>
      <c r="E19" s="1" t="n">
        <v>2474</v>
      </c>
      <c r="F19" s="1" t="n">
        <v>7</v>
      </c>
      <c r="G19" s="1" t="n">
        <v>2</v>
      </c>
      <c r="H19" s="9" t="n">
        <v>-12.29</v>
      </c>
      <c r="I19" s="1" t="n">
        <v>98.2</v>
      </c>
      <c r="J19" s="1" t="n">
        <v>110.9</v>
      </c>
      <c r="K19" s="0" t="n">
        <f aca="false">I19-J19</f>
        <v>-12.7</v>
      </c>
      <c r="L19" s="1" t="n">
        <v>0.592</v>
      </c>
      <c r="M19" s="1" t="n">
        <v>-12.62</v>
      </c>
      <c r="N19" s="1" t="n">
        <v>406</v>
      </c>
      <c r="O19" s="1" t="n">
        <v>14.1</v>
      </c>
      <c r="P19" s="8" t="n">
        <v>0.559</v>
      </c>
      <c r="Q19" s="1" t="n">
        <v>1293</v>
      </c>
      <c r="R19" s="1" t="n">
        <v>535</v>
      </c>
      <c r="S19" s="0" t="n">
        <f aca="false">ROUND(E19/34, 1)</f>
        <v>72.8</v>
      </c>
      <c r="T19" s="1" t="n">
        <v>70.7</v>
      </c>
      <c r="U19" s="1" t="n">
        <v>632</v>
      </c>
      <c r="V19" s="9" t="n">
        <v>626</v>
      </c>
      <c r="W19" s="10" t="n">
        <v>0</v>
      </c>
      <c r="X19" s="9" t="n">
        <v>1991</v>
      </c>
      <c r="Y19" s="11" t="n">
        <v>0</v>
      </c>
      <c r="Z19" s="1" t="n">
        <v>0.466</v>
      </c>
      <c r="AA19" s="12" t="n">
        <v>-0.3</v>
      </c>
      <c r="AB19" s="1" t="n">
        <v>0</v>
      </c>
      <c r="AC19" s="9" t="n">
        <v>174</v>
      </c>
      <c r="AD19" s="13"/>
      <c r="AE19" s="14" t="n">
        <v>-12.75</v>
      </c>
      <c r="AF19" s="14" t="n">
        <v>0.545</v>
      </c>
      <c r="AG19" s="15" t="n">
        <v>314.3333333</v>
      </c>
      <c r="AH19" s="1" t="n">
        <v>25.46875</v>
      </c>
      <c r="AI19" s="14" t="n">
        <v>108.121684835249</v>
      </c>
      <c r="AJ19" s="14" t="n">
        <v>108.670550087135</v>
      </c>
      <c r="AK19" s="14" t="n">
        <v>54.4916008473908</v>
      </c>
      <c r="AL19" s="13" t="n">
        <v>0.687</v>
      </c>
      <c r="AM19" s="16" t="n">
        <v>47</v>
      </c>
      <c r="AN19" s="14" t="n">
        <v>-12.7</v>
      </c>
      <c r="AO19" s="17" t="n">
        <v>0.3933</v>
      </c>
      <c r="AP19" s="18" t="n">
        <v>14.1</v>
      </c>
      <c r="AQ19" s="14" t="n">
        <v>-12.76</v>
      </c>
      <c r="AR19" s="19" t="n">
        <v>0.458608058608059</v>
      </c>
      <c r="AS19" s="19" t="n">
        <v>0.339</v>
      </c>
      <c r="AT19" s="14" t="n">
        <v>62.31</v>
      </c>
    </row>
    <row r="20" customFormat="false" ht="12.75" hidden="false" customHeight="false" outlineLevel="0" collapsed="false">
      <c r="A20" s="1" t="s">
        <v>38</v>
      </c>
      <c r="B20" s="1" t="n">
        <v>1411</v>
      </c>
      <c r="C20" s="1"/>
      <c r="D20" s="1" t="n">
        <v>16</v>
      </c>
      <c r="E20" s="1" t="n">
        <v>2640</v>
      </c>
      <c r="F20" s="1" t="n">
        <v>8</v>
      </c>
      <c r="G20" s="1" t="n">
        <v>8</v>
      </c>
      <c r="H20" s="9" t="n">
        <v>-5.83</v>
      </c>
      <c r="I20" s="1" t="n">
        <v>105.3</v>
      </c>
      <c r="J20" s="1" t="n">
        <v>112.9</v>
      </c>
      <c r="K20" s="0" t="n">
        <f aca="false">I20-J20</f>
        <v>-7.60000000000001</v>
      </c>
      <c r="L20" s="1" t="n">
        <v>0.594</v>
      </c>
      <c r="M20" s="1" t="n">
        <v>-7.93</v>
      </c>
      <c r="N20" s="1" t="n">
        <v>618</v>
      </c>
      <c r="O20" s="1" t="n">
        <v>12.6</v>
      </c>
      <c r="P20" s="8" t="n">
        <v>0.441</v>
      </c>
      <c r="Q20" s="1" t="n">
        <v>1229</v>
      </c>
      <c r="R20" s="1" t="n">
        <v>417</v>
      </c>
      <c r="S20" s="0" t="n">
        <f aca="false">ROUND(E20/34, 1)</f>
        <v>77.6</v>
      </c>
      <c r="T20" s="1" t="n">
        <v>79.7</v>
      </c>
      <c r="U20" s="1" t="n">
        <v>599</v>
      </c>
      <c r="V20" s="9" t="n">
        <v>732</v>
      </c>
      <c r="W20" s="10" t="n">
        <v>1</v>
      </c>
      <c r="X20" s="9" t="n">
        <v>1989</v>
      </c>
      <c r="Y20" s="11" t="n">
        <v>0</v>
      </c>
      <c r="Z20" s="1" t="n">
        <v>0.441</v>
      </c>
      <c r="AA20" s="12" t="n">
        <v>-2.1</v>
      </c>
      <c r="AB20" s="1" t="n">
        <v>0</v>
      </c>
      <c r="AC20" s="9" t="n">
        <v>190</v>
      </c>
      <c r="AD20" s="13"/>
      <c r="AE20" s="14" t="n">
        <v>-6.74</v>
      </c>
      <c r="AF20" s="14" t="n">
        <v>0.551</v>
      </c>
      <c r="AG20" s="15" t="n">
        <v>277.6666667</v>
      </c>
      <c r="AH20" s="1" t="n">
        <v>25.7142857142857</v>
      </c>
      <c r="AI20" s="14" t="n">
        <v>111.554553006565</v>
      </c>
      <c r="AJ20" s="14" t="n">
        <v>115.598819951639</v>
      </c>
      <c r="AK20" s="14" t="n">
        <v>55.4718667299958</v>
      </c>
      <c r="AL20" s="13" t="n">
        <v>0.719</v>
      </c>
      <c r="AM20" s="16" t="n">
        <v>47</v>
      </c>
      <c r="AN20" s="14" t="n">
        <v>47</v>
      </c>
      <c r="AO20" s="17" t="n">
        <v>0.4539</v>
      </c>
      <c r="AP20" s="18" t="n">
        <v>12.6</v>
      </c>
      <c r="AQ20" s="14" t="n">
        <v>-7.65</v>
      </c>
      <c r="AR20" s="19" t="n">
        <v>0.534306569343066</v>
      </c>
      <c r="AS20" s="19" t="n">
        <v>0.363</v>
      </c>
      <c r="AT20" s="14" t="n">
        <v>64.79</v>
      </c>
    </row>
    <row r="21" customFormat="false" ht="12.75" hidden="false" customHeight="false" outlineLevel="0" collapsed="false">
      <c r="A21" s="1" t="s">
        <v>39</v>
      </c>
      <c r="B21" s="1" t="n">
        <v>1281</v>
      </c>
      <c r="C21" s="1"/>
      <c r="D21" s="1" t="n">
        <v>8</v>
      </c>
      <c r="E21" s="1" t="n">
        <v>2345</v>
      </c>
      <c r="F21" s="1" t="n">
        <v>6</v>
      </c>
      <c r="G21" s="1" t="n">
        <v>2</v>
      </c>
      <c r="H21" s="9" t="n">
        <v>9.36</v>
      </c>
      <c r="I21" s="1" t="n">
        <v>113.3</v>
      </c>
      <c r="J21" s="1" t="n">
        <v>97.8</v>
      </c>
      <c r="K21" s="0" t="n">
        <f aca="false">I21-J21</f>
        <v>15.5</v>
      </c>
      <c r="L21" s="1" t="n">
        <v>0.608</v>
      </c>
      <c r="M21" s="1" t="n">
        <v>14.55</v>
      </c>
      <c r="N21" s="1" t="n">
        <v>491</v>
      </c>
      <c r="O21" s="1" t="n">
        <v>14.1</v>
      </c>
      <c r="P21" s="8" t="n">
        <v>0.625</v>
      </c>
      <c r="Q21" s="1" t="n">
        <v>1189</v>
      </c>
      <c r="R21" s="1" t="n">
        <v>435</v>
      </c>
      <c r="S21" s="0" t="n">
        <f aca="false">ROUND(E21/32, 1)</f>
        <v>73.3</v>
      </c>
      <c r="T21" s="1" t="n">
        <v>68.3</v>
      </c>
      <c r="U21" s="1" t="n">
        <v>573</v>
      </c>
      <c r="V21" s="9" t="n">
        <v>775</v>
      </c>
      <c r="W21" s="10" t="n">
        <v>0</v>
      </c>
      <c r="X21" s="9" t="n">
        <v>1716</v>
      </c>
      <c r="Y21" s="11" t="n">
        <v>2.44948974278318</v>
      </c>
      <c r="Z21" s="1" t="n">
        <v>0.453</v>
      </c>
      <c r="AA21" s="12" t="n">
        <f aca="false">+5.2</f>
        <v>5.2</v>
      </c>
      <c r="AB21" s="1" t="n">
        <v>1</v>
      </c>
      <c r="AC21" s="9" t="n">
        <v>165</v>
      </c>
      <c r="AD21" s="13"/>
      <c r="AE21" s="14" t="n">
        <v>9.6</v>
      </c>
      <c r="AF21" s="14" t="n">
        <v>0.577</v>
      </c>
      <c r="AG21" s="15" t="n">
        <v>40</v>
      </c>
      <c r="AH21" s="1" t="n">
        <v>27.0625</v>
      </c>
      <c r="AI21" s="14" t="n">
        <v>113.723976510102</v>
      </c>
      <c r="AJ21" s="14" t="n">
        <v>105.522733707224</v>
      </c>
      <c r="AK21" s="14" t="n">
        <v>59.2198336273453</v>
      </c>
      <c r="AL21" s="13" t="n">
        <v>0.736</v>
      </c>
      <c r="AM21" s="16" t="n">
        <v>45</v>
      </c>
      <c r="AN21" s="14" t="n">
        <v>15.5</v>
      </c>
      <c r="AO21" s="17" t="n">
        <v>0.5705</v>
      </c>
      <c r="AP21" s="18" t="n">
        <v>14.1</v>
      </c>
      <c r="AQ21" s="14" t="n">
        <v>15.47</v>
      </c>
      <c r="AR21" s="19" t="n">
        <v>0.60077519379845</v>
      </c>
      <c r="AS21" s="19" t="n">
        <v>0.385</v>
      </c>
      <c r="AT21" s="14" t="n">
        <v>83.66</v>
      </c>
    </row>
    <row r="22" customFormat="false" ht="12.75" hidden="false" customHeight="false" outlineLevel="0" collapsed="false">
      <c r="A22" s="1" t="s">
        <v>40</v>
      </c>
      <c r="B22" s="1" t="n">
        <v>1199</v>
      </c>
      <c r="C22" s="1"/>
      <c r="D22" s="1" t="n">
        <v>9</v>
      </c>
      <c r="E22" s="1" t="n">
        <v>2535</v>
      </c>
      <c r="F22" s="1" t="n">
        <v>4</v>
      </c>
      <c r="G22" s="1" t="n">
        <v>8</v>
      </c>
      <c r="H22" s="9" t="n">
        <v>7.69</v>
      </c>
      <c r="I22" s="1" t="n">
        <v>115.8</v>
      </c>
      <c r="J22" s="1" t="n">
        <v>100</v>
      </c>
      <c r="K22" s="0" t="n">
        <f aca="false">I22-J22</f>
        <v>15.8</v>
      </c>
      <c r="L22" s="1" t="n">
        <v>0.557</v>
      </c>
      <c r="M22" s="1" t="n">
        <v>14.97</v>
      </c>
      <c r="N22" s="1" t="n">
        <v>473</v>
      </c>
      <c r="O22" s="1" t="n">
        <v>13</v>
      </c>
      <c r="P22" s="8" t="n">
        <v>0.645</v>
      </c>
      <c r="Q22" s="1" t="n">
        <v>1179</v>
      </c>
      <c r="R22" s="1" t="n">
        <v>473</v>
      </c>
      <c r="S22" s="0" t="n">
        <f aca="false">ROUND(E22/31, 1)</f>
        <v>81.8</v>
      </c>
      <c r="T22" s="9" t="n">
        <v>74.5</v>
      </c>
      <c r="U22" s="1" t="n">
        <v>566</v>
      </c>
      <c r="V22" s="9" t="n">
        <v>706</v>
      </c>
      <c r="W22" s="10" t="n">
        <v>0</v>
      </c>
      <c r="X22" s="9" t="n">
        <v>1912</v>
      </c>
      <c r="Y22" s="11" t="n">
        <v>2.44948974278318</v>
      </c>
      <c r="Z22" s="1" t="n">
        <v>0.474</v>
      </c>
      <c r="AA22" s="12" t="n">
        <f aca="false">+7.3</f>
        <v>7.3</v>
      </c>
      <c r="AB22" s="1" t="n">
        <v>1</v>
      </c>
      <c r="AC22" s="9" t="n">
        <v>208</v>
      </c>
      <c r="AD22" s="13"/>
      <c r="AE22" s="14" t="n">
        <v>7.99</v>
      </c>
      <c r="AF22" s="14" t="n">
        <v>0.566</v>
      </c>
      <c r="AG22" s="15" t="n">
        <v>34.33333333</v>
      </c>
      <c r="AH22" s="1" t="n">
        <v>26.25</v>
      </c>
      <c r="AI22" s="14" t="n">
        <v>116.746574589522</v>
      </c>
      <c r="AJ22" s="14" t="n">
        <v>106.306249630302</v>
      </c>
      <c r="AK22" s="14" t="n">
        <v>57.5256473834745</v>
      </c>
      <c r="AL22" s="13" t="n">
        <v>0.685</v>
      </c>
      <c r="AM22" s="16" t="n">
        <v>47</v>
      </c>
      <c r="AN22" s="14" t="n">
        <v>15.8</v>
      </c>
      <c r="AO22" s="17" t="n">
        <v>0.5451</v>
      </c>
      <c r="AP22" s="18" t="n">
        <v>13</v>
      </c>
      <c r="AQ22" s="14" t="n">
        <v>15.82</v>
      </c>
      <c r="AR22" s="19" t="n">
        <v>0.56031746031746</v>
      </c>
      <c r="AS22" s="19" t="n">
        <v>0.351</v>
      </c>
      <c r="AT22" s="14" t="n">
        <v>85.07</v>
      </c>
    </row>
    <row r="23" customFormat="false" ht="12.75" hidden="false" customHeight="false" outlineLevel="0" collapsed="false">
      <c r="A23" s="1" t="s">
        <v>41</v>
      </c>
      <c r="B23" s="1" t="n">
        <v>1326</v>
      </c>
      <c r="C23" s="1"/>
      <c r="D23" s="1" t="n">
        <v>5</v>
      </c>
      <c r="E23" s="1" t="n">
        <v>2426</v>
      </c>
      <c r="F23" s="1" t="n">
        <v>6</v>
      </c>
      <c r="G23" s="1" t="n">
        <v>3</v>
      </c>
      <c r="H23" s="9" t="n">
        <v>8.98</v>
      </c>
      <c r="I23" s="1" t="n">
        <v>116.2</v>
      </c>
      <c r="J23" s="1" t="n">
        <v>95</v>
      </c>
      <c r="K23" s="0" t="n">
        <f aca="false">I23-J23</f>
        <v>21.2</v>
      </c>
      <c r="L23" s="1" t="n">
        <v>0.597</v>
      </c>
      <c r="M23" s="1" t="n">
        <v>18.1</v>
      </c>
      <c r="N23" s="1" t="n">
        <v>422</v>
      </c>
      <c r="O23" s="1" t="n">
        <v>11.8</v>
      </c>
      <c r="P23" s="8" t="n">
        <v>0.75</v>
      </c>
      <c r="Q23" s="1" t="n">
        <v>1174</v>
      </c>
      <c r="R23" s="1" t="n">
        <v>472</v>
      </c>
      <c r="S23" s="0" t="n">
        <f aca="false">ROUND(E23/32, 1)</f>
        <v>75.8</v>
      </c>
      <c r="T23" s="1" t="n">
        <v>66.7</v>
      </c>
      <c r="U23" s="1" t="n">
        <v>556</v>
      </c>
      <c r="V23" s="9" t="n">
        <v>612</v>
      </c>
      <c r="W23" s="10" t="n">
        <v>0</v>
      </c>
      <c r="X23" s="9" t="n">
        <v>1842</v>
      </c>
      <c r="Y23" s="11" t="n">
        <v>2.23606797749979</v>
      </c>
      <c r="Z23" s="1" t="n">
        <v>0.485</v>
      </c>
      <c r="AA23" s="12" t="n">
        <f aca="false">+9.1</f>
        <v>9.1</v>
      </c>
      <c r="AB23" s="1" t="n">
        <v>1</v>
      </c>
      <c r="AC23" s="9" t="n">
        <v>193</v>
      </c>
      <c r="AD23" s="13"/>
      <c r="AE23" s="14" t="n">
        <v>8.16</v>
      </c>
      <c r="AF23" s="14" t="n">
        <v>0.573</v>
      </c>
      <c r="AG23" s="15" t="n">
        <v>17.66666667</v>
      </c>
      <c r="AH23" s="1" t="n">
        <v>27.1515151515151</v>
      </c>
      <c r="AI23" s="14" t="n">
        <v>117.321705621654</v>
      </c>
      <c r="AJ23" s="14" t="n">
        <v>102.368074730054</v>
      </c>
      <c r="AK23" s="14" t="n">
        <v>58.205977273285</v>
      </c>
      <c r="AL23" s="13" t="n">
        <v>0.726</v>
      </c>
      <c r="AM23" s="16" t="n">
        <v>17</v>
      </c>
      <c r="AN23" s="14" t="n">
        <v>21.2</v>
      </c>
      <c r="AO23" s="17" t="n">
        <v>0.5711</v>
      </c>
      <c r="AP23" s="18" t="n">
        <v>11.8</v>
      </c>
      <c r="AQ23" s="14" t="n">
        <v>21.11</v>
      </c>
      <c r="AR23" s="19" t="n">
        <v>0.472586872586873</v>
      </c>
      <c r="AS23" s="19" t="n">
        <v>0.353</v>
      </c>
      <c r="AT23" s="14" t="n">
        <v>86.31</v>
      </c>
    </row>
    <row r="24" customFormat="false" ht="12.75" hidden="false" customHeight="false" outlineLevel="0" collapsed="false">
      <c r="A24" s="1" t="s">
        <v>42</v>
      </c>
      <c r="B24" s="1" t="n">
        <v>1355</v>
      </c>
      <c r="C24" s="1"/>
      <c r="D24" s="1" t="n">
        <v>12</v>
      </c>
      <c r="E24" s="1" t="n">
        <v>2885</v>
      </c>
      <c r="F24" s="1" t="n">
        <v>10</v>
      </c>
      <c r="G24" s="1" t="n">
        <v>1</v>
      </c>
      <c r="H24" s="9" t="n">
        <v>-0.58</v>
      </c>
      <c r="I24" s="1" t="n">
        <v>114.6</v>
      </c>
      <c r="J24" s="1" t="n">
        <v>104</v>
      </c>
      <c r="K24" s="0" t="n">
        <f aca="false">I24-J24</f>
        <v>10.6</v>
      </c>
      <c r="L24" s="1" t="n">
        <v>0.667</v>
      </c>
      <c r="M24" s="1" t="n">
        <v>7.11</v>
      </c>
      <c r="N24" s="1" t="n">
        <v>566</v>
      </c>
      <c r="O24" s="1" t="n">
        <v>10</v>
      </c>
      <c r="P24" s="8" t="n">
        <v>0.824</v>
      </c>
      <c r="Q24" s="1" t="n">
        <v>1321</v>
      </c>
      <c r="R24" s="1" t="n">
        <v>459</v>
      </c>
      <c r="S24" s="0" t="n">
        <f aca="false">ROUND(E24/34, 1)</f>
        <v>84.9</v>
      </c>
      <c r="T24" s="1" t="n">
        <v>74.1</v>
      </c>
      <c r="U24" s="1" t="n">
        <v>547</v>
      </c>
      <c r="V24" s="9" t="n">
        <v>896</v>
      </c>
      <c r="W24" s="10" t="n">
        <v>0</v>
      </c>
      <c r="X24" s="9" t="n">
        <v>2084</v>
      </c>
      <c r="Y24" s="11" t="n">
        <v>1</v>
      </c>
      <c r="Z24" s="1" t="n">
        <v>0.48</v>
      </c>
      <c r="AA24" s="12" t="n">
        <f aca="false">+7.7</f>
        <v>7.7</v>
      </c>
      <c r="AB24" s="1" t="n">
        <v>0</v>
      </c>
      <c r="AC24" s="9" t="n">
        <v>169</v>
      </c>
      <c r="AD24" s="13"/>
      <c r="AE24" s="14" t="n">
        <v>-0.1</v>
      </c>
      <c r="AF24" s="14" t="n">
        <v>0.592</v>
      </c>
      <c r="AG24" s="15" t="n">
        <v>74</v>
      </c>
      <c r="AH24" s="1" t="n">
        <v>29.3548387096774</v>
      </c>
      <c r="AI24" s="14" t="n">
        <v>119.482355940935</v>
      </c>
      <c r="AJ24" s="14" t="n">
        <v>107.995465386061</v>
      </c>
      <c r="AK24" s="14" t="n">
        <v>58.6798734644483</v>
      </c>
      <c r="AL24" s="13" t="n">
        <v>0.76</v>
      </c>
      <c r="AM24" s="16" t="n">
        <v>40</v>
      </c>
      <c r="AN24" s="14" t="n">
        <v>8.6</v>
      </c>
      <c r="AO24" s="17" t="n">
        <v>0.4962</v>
      </c>
      <c r="AP24" s="18" t="n">
        <v>10</v>
      </c>
      <c r="AQ24" s="14" t="n">
        <v>10.48</v>
      </c>
      <c r="AR24" s="19" t="n">
        <v>0.651636363636364</v>
      </c>
      <c r="AS24" s="19" t="n">
        <v>0.403</v>
      </c>
      <c r="AT24" s="14" t="n">
        <v>78.24</v>
      </c>
    </row>
    <row r="25" customFormat="false" ht="12.75" hidden="false" customHeight="false" outlineLevel="0" collapsed="false">
      <c r="A25" s="1" t="s">
        <v>43</v>
      </c>
      <c r="B25" s="1" t="n">
        <v>1211</v>
      </c>
      <c r="C25" s="1"/>
      <c r="D25" s="1" t="n">
        <v>4</v>
      </c>
      <c r="E25" s="1" t="n">
        <v>2873</v>
      </c>
      <c r="F25" s="1" t="n">
        <v>10</v>
      </c>
      <c r="G25" s="1" t="n">
        <v>18</v>
      </c>
      <c r="H25" s="9" t="n">
        <v>2.06</v>
      </c>
      <c r="I25" s="1" t="n">
        <v>119.8</v>
      </c>
      <c r="J25" s="1" t="n">
        <v>95.1</v>
      </c>
      <c r="K25" s="0" t="n">
        <f aca="false">I25-J25</f>
        <v>24.7</v>
      </c>
      <c r="L25" s="1" t="n">
        <v>0.82</v>
      </c>
      <c r="M25" s="1" t="n">
        <v>2.62</v>
      </c>
      <c r="N25" s="1" t="n">
        <v>466</v>
      </c>
      <c r="O25" s="1" t="n">
        <v>11.3</v>
      </c>
      <c r="P25" s="8" t="n">
        <v>0.882</v>
      </c>
      <c r="Q25" s="1" t="n">
        <v>1357</v>
      </c>
      <c r="R25" s="1" t="n">
        <v>535</v>
      </c>
      <c r="S25" s="0" t="n">
        <f aca="false">ROUND(E25/34, 1)</f>
        <v>84.5</v>
      </c>
      <c r="T25" s="1" t="n">
        <v>67.1</v>
      </c>
      <c r="U25" s="1" t="n">
        <v>579</v>
      </c>
      <c r="V25" s="9" t="n">
        <v>826</v>
      </c>
      <c r="W25" s="10" t="n">
        <v>1</v>
      </c>
      <c r="X25" s="9" t="n">
        <v>2085</v>
      </c>
      <c r="Y25" s="11" t="n">
        <v>2.23606797749979</v>
      </c>
      <c r="Z25" s="1" t="n">
        <v>0.503</v>
      </c>
      <c r="AA25" s="12" t="n">
        <f aca="false">+17.4</f>
        <v>17.4</v>
      </c>
      <c r="AB25" s="1" t="n">
        <v>0</v>
      </c>
      <c r="AC25" s="9" t="n">
        <v>219</v>
      </c>
      <c r="AD25" s="13"/>
      <c r="AE25" s="14" t="n">
        <v>0.95</v>
      </c>
      <c r="AF25" s="14" t="n">
        <v>0.601</v>
      </c>
      <c r="AG25" s="15" t="n">
        <v>11.88888889</v>
      </c>
      <c r="AH25" s="1" t="n">
        <v>29.0857142857142</v>
      </c>
      <c r="AI25" s="14" t="n">
        <v>126.335832608401</v>
      </c>
      <c r="AJ25" s="14" t="n">
        <v>99.8097621959522</v>
      </c>
      <c r="AK25" s="14" t="n">
        <v>60.7253776248953</v>
      </c>
      <c r="AL25" s="13" t="n">
        <v>0.722</v>
      </c>
      <c r="AM25" s="16" t="n">
        <v>8</v>
      </c>
      <c r="AN25" s="14" t="n">
        <v>24.7</v>
      </c>
      <c r="AO25" s="17" t="n">
        <v>0.5147</v>
      </c>
      <c r="AP25" s="18" t="n">
        <v>11.3</v>
      </c>
      <c r="AQ25" s="14" t="n">
        <v>24.73</v>
      </c>
      <c r="AR25" s="19" t="n">
        <v>0.598550724637681</v>
      </c>
      <c r="AS25" s="19" t="n">
        <v>0.374</v>
      </c>
      <c r="AT25" s="14" t="n">
        <v>89.36</v>
      </c>
    </row>
    <row r="26" customFormat="false" ht="12.75" hidden="false" customHeight="false" outlineLevel="0" collapsed="false">
      <c r="A26" s="1" t="s">
        <v>44</v>
      </c>
      <c r="B26" s="1" t="n">
        <v>1422</v>
      </c>
      <c r="C26" s="1"/>
      <c r="D26" s="1" t="n">
        <v>13</v>
      </c>
      <c r="E26" s="1" t="n">
        <v>2498</v>
      </c>
      <c r="F26" s="1" t="n">
        <v>9</v>
      </c>
      <c r="G26" s="1" t="n">
        <v>0</v>
      </c>
      <c r="H26" s="9" t="n">
        <v>-4.31</v>
      </c>
      <c r="I26" s="1" t="n">
        <v>105.7</v>
      </c>
      <c r="J26" s="1" t="n">
        <v>96.6</v>
      </c>
      <c r="K26" s="0" t="n">
        <f aca="false">I26-J26</f>
        <v>9.10000000000001</v>
      </c>
      <c r="L26" s="1" t="n">
        <v>0.507</v>
      </c>
      <c r="M26" s="1" t="n">
        <v>4.48</v>
      </c>
      <c r="N26" s="1" t="n">
        <v>378</v>
      </c>
      <c r="O26" s="1" t="n">
        <v>13.8</v>
      </c>
      <c r="P26" s="8" t="n">
        <v>0.794</v>
      </c>
      <c r="Q26" s="1" t="n">
        <v>1262</v>
      </c>
      <c r="R26" s="1" t="n">
        <v>480</v>
      </c>
      <c r="S26" s="0" t="n">
        <f aca="false">ROUND(E26/34, 1)</f>
        <v>73.5</v>
      </c>
      <c r="T26" s="9" t="n">
        <v>63.3</v>
      </c>
      <c r="U26" s="1" t="n">
        <v>628</v>
      </c>
      <c r="V26" s="9" t="n">
        <v>914</v>
      </c>
      <c r="W26" s="10" t="n">
        <v>0</v>
      </c>
      <c r="X26" s="9" t="n">
        <v>2006</v>
      </c>
      <c r="Y26" s="11" t="n">
        <v>1</v>
      </c>
      <c r="Z26" s="1" t="n">
        <v>0.446</v>
      </c>
      <c r="AA26" s="12" t="n">
        <f aca="false">+8.8</f>
        <v>8.8</v>
      </c>
      <c r="AB26" s="1" t="n">
        <v>0</v>
      </c>
      <c r="AC26" s="9" t="n">
        <v>263</v>
      </c>
      <c r="AD26" s="13"/>
      <c r="AE26" s="14" t="n">
        <v>-4.99</v>
      </c>
      <c r="AF26" s="14" t="n">
        <v>0.552</v>
      </c>
      <c r="AG26" s="15" t="n">
        <v>85.11111111</v>
      </c>
      <c r="AH26" s="1" t="n">
        <v>24.65625</v>
      </c>
      <c r="AI26" s="14" t="n">
        <v>111.364356297031</v>
      </c>
      <c r="AJ26" s="14" t="n">
        <v>98.9382559242116</v>
      </c>
      <c r="AK26" s="14" t="n">
        <v>54.8095564671098</v>
      </c>
      <c r="AL26" s="13" t="n">
        <v>0.701</v>
      </c>
      <c r="AM26" s="16" t="n">
        <v>47</v>
      </c>
      <c r="AN26" s="14" t="n">
        <v>9.1</v>
      </c>
      <c r="AO26" s="17" t="n">
        <v>0.4811</v>
      </c>
      <c r="AP26" s="18" t="n">
        <v>13.8</v>
      </c>
      <c r="AQ26" s="14" t="n">
        <v>9.06</v>
      </c>
      <c r="AR26" s="19" t="n">
        <v>0.657553956834532</v>
      </c>
      <c r="AS26" s="19" t="n">
        <v>0.359</v>
      </c>
      <c r="AT26" s="14" t="n">
        <v>76.15</v>
      </c>
    </row>
    <row r="27" customFormat="false" ht="12.75" hidden="false" customHeight="false" outlineLevel="0" collapsed="false">
      <c r="A27" s="1" t="s">
        <v>45</v>
      </c>
      <c r="B27" s="1" t="n">
        <v>1222</v>
      </c>
      <c r="C27" s="1"/>
      <c r="D27" s="1" t="n">
        <v>5</v>
      </c>
      <c r="E27" s="1" t="n">
        <v>2555</v>
      </c>
      <c r="F27" s="1" t="n">
        <v>8</v>
      </c>
      <c r="G27" s="1" t="n">
        <v>14</v>
      </c>
      <c r="H27" s="9" t="n">
        <v>3.35</v>
      </c>
      <c r="I27" s="1" t="n">
        <v>115.8</v>
      </c>
      <c r="J27" s="1" t="n">
        <v>95.2</v>
      </c>
      <c r="K27" s="0" t="n">
        <f aca="false">I27-J27</f>
        <v>20.6</v>
      </c>
      <c r="L27" s="1" t="n">
        <v>0.649</v>
      </c>
      <c r="M27" s="1" t="n">
        <v>16.38</v>
      </c>
      <c r="N27" s="1" t="n">
        <v>450</v>
      </c>
      <c r="O27" s="1" t="n">
        <v>12.2</v>
      </c>
      <c r="P27" s="8" t="n">
        <v>0.788</v>
      </c>
      <c r="Q27" s="1" t="n">
        <v>1271</v>
      </c>
      <c r="R27" s="1" t="n">
        <v>492</v>
      </c>
      <c r="S27" s="0" t="n">
        <f aca="false">ROUND(E27/33, 1)</f>
        <v>77.4</v>
      </c>
      <c r="T27" s="1" t="n">
        <v>64.9</v>
      </c>
      <c r="U27" s="1" t="n">
        <v>693</v>
      </c>
      <c r="V27" s="9" t="n">
        <v>714</v>
      </c>
      <c r="W27" s="10" t="n">
        <v>1</v>
      </c>
      <c r="X27" s="9" t="n">
        <v>1898</v>
      </c>
      <c r="Y27" s="11" t="n">
        <v>2</v>
      </c>
      <c r="Z27" s="1" t="n">
        <v>0.469</v>
      </c>
      <c r="AA27" s="12" t="n">
        <f aca="false">+12.5</f>
        <v>12.5</v>
      </c>
      <c r="AB27" s="1" t="n">
        <v>0</v>
      </c>
      <c r="AC27" s="9" t="n">
        <v>204</v>
      </c>
      <c r="AD27" s="13"/>
      <c r="AE27" s="14" t="n">
        <v>3.39</v>
      </c>
      <c r="AF27" s="14" t="n">
        <v>0.571</v>
      </c>
      <c r="AG27" s="15" t="n">
        <v>24</v>
      </c>
      <c r="AH27" s="1" t="n">
        <v>26.9411764705882</v>
      </c>
      <c r="AI27" s="14" t="n">
        <v>119.081334242598</v>
      </c>
      <c r="AJ27" s="14" t="n">
        <v>99.4158449968663</v>
      </c>
      <c r="AK27" s="14" t="n">
        <v>57.6462158240729</v>
      </c>
      <c r="AL27" s="13" t="n">
        <v>0.717</v>
      </c>
      <c r="AM27" s="16" t="n">
        <v>21</v>
      </c>
      <c r="AN27" s="14" t="n">
        <v>20.6</v>
      </c>
      <c r="AO27" s="17" t="n">
        <v>0.539</v>
      </c>
      <c r="AP27" s="18" t="n">
        <v>12.2</v>
      </c>
      <c r="AQ27" s="14" t="n">
        <v>20.55</v>
      </c>
      <c r="AR27" s="19" t="n">
        <v>0.558333333333333</v>
      </c>
      <c r="AS27" s="19" t="n">
        <v>0.387</v>
      </c>
      <c r="AT27" s="14" t="n">
        <v>86.09</v>
      </c>
    </row>
    <row r="28" customFormat="false" ht="12.75" hidden="false" customHeight="false" outlineLevel="0" collapsed="false">
      <c r="A28" s="1" t="s">
        <v>46</v>
      </c>
      <c r="B28" s="1" t="n">
        <v>1361</v>
      </c>
      <c r="C28" s="1"/>
      <c r="D28" s="1" t="n">
        <v>11</v>
      </c>
      <c r="E28" s="1" t="n">
        <v>2480</v>
      </c>
      <c r="F28" s="1" t="n">
        <v>9</v>
      </c>
      <c r="G28" s="1" t="n">
        <v>0</v>
      </c>
      <c r="H28" s="9" t="n">
        <v>3.85</v>
      </c>
      <c r="I28" s="1" t="n">
        <v>111.3</v>
      </c>
      <c r="J28" s="1" t="n">
        <v>97.1</v>
      </c>
      <c r="K28" s="0" t="n">
        <f aca="false">I28-J28</f>
        <v>14.2</v>
      </c>
      <c r="L28" s="1" t="n">
        <v>0.688</v>
      </c>
      <c r="M28" s="1" t="n">
        <v>12.49</v>
      </c>
      <c r="N28" s="1" t="n">
        <v>481</v>
      </c>
      <c r="O28" s="1" t="n">
        <v>11.9</v>
      </c>
      <c r="P28" s="8" t="n">
        <v>0.688</v>
      </c>
      <c r="Q28" s="1" t="n">
        <v>1206</v>
      </c>
      <c r="R28" s="1" t="n">
        <v>477</v>
      </c>
      <c r="S28" s="0" t="n">
        <f aca="false">ROUND(E28/32, 1)</f>
        <v>77.5</v>
      </c>
      <c r="T28" s="1" t="n">
        <v>66.4</v>
      </c>
      <c r="U28" s="1" t="n">
        <v>545</v>
      </c>
      <c r="V28" s="9" t="n">
        <v>693</v>
      </c>
      <c r="W28" s="10" t="n">
        <v>0</v>
      </c>
      <c r="X28" s="9" t="n">
        <v>1913</v>
      </c>
      <c r="Y28" s="11" t="n">
        <v>1.4142135623731</v>
      </c>
      <c r="Z28" s="1" t="n">
        <v>0.461</v>
      </c>
      <c r="AA28" s="12" t="n">
        <f aca="false">+8.6</f>
        <v>8.6</v>
      </c>
      <c r="AB28" s="1" t="n">
        <v>0</v>
      </c>
      <c r="AC28" s="9" t="n">
        <v>202</v>
      </c>
      <c r="AD28" s="13"/>
      <c r="AE28" s="14" t="n">
        <v>3.37</v>
      </c>
      <c r="AF28" s="14" t="n">
        <v>0.556</v>
      </c>
      <c r="AG28" s="15" t="n">
        <v>70.44444444</v>
      </c>
      <c r="AH28" s="1" t="n">
        <v>26.375</v>
      </c>
      <c r="AI28" s="14" t="n">
        <v>114.453849418083</v>
      </c>
      <c r="AJ28" s="14" t="n">
        <v>102.96526053339</v>
      </c>
      <c r="AK28" s="14" t="n">
        <v>55.7172890197417</v>
      </c>
      <c r="AL28" s="13" t="n">
        <v>0.721</v>
      </c>
      <c r="AM28" s="16" t="n">
        <v>41</v>
      </c>
      <c r="AN28" s="14" t="n">
        <v>14.2</v>
      </c>
      <c r="AO28" s="17" t="n">
        <v>0.5255</v>
      </c>
      <c r="AP28" s="18" t="n">
        <v>11.9</v>
      </c>
      <c r="AQ28" s="14" t="n">
        <v>14.14</v>
      </c>
      <c r="AR28" s="19" t="n">
        <v>0.54140625</v>
      </c>
      <c r="AS28" s="19" t="n">
        <v>0.339</v>
      </c>
      <c r="AT28" s="14" t="n">
        <v>82.27</v>
      </c>
    </row>
    <row r="29" customFormat="false" ht="12.75" hidden="false" customHeight="false" outlineLevel="0" collapsed="false">
      <c r="A29" s="1" t="s">
        <v>47</v>
      </c>
      <c r="B29" s="1" t="n">
        <v>1276</v>
      </c>
      <c r="C29" s="1"/>
      <c r="D29" s="1" t="n">
        <v>3</v>
      </c>
      <c r="E29" s="1" t="n">
        <v>2606</v>
      </c>
      <c r="F29" s="1" t="n">
        <v>9</v>
      </c>
      <c r="G29" s="1" t="n">
        <v>11</v>
      </c>
      <c r="H29" s="9" t="n">
        <v>8.79</v>
      </c>
      <c r="I29" s="1" t="n">
        <v>115.9</v>
      </c>
      <c r="J29" s="1" t="n">
        <v>92.7</v>
      </c>
      <c r="K29" s="0" t="n">
        <f aca="false">I29-J29</f>
        <v>23.2</v>
      </c>
      <c r="L29" s="1" t="n">
        <v>0.628</v>
      </c>
      <c r="M29" s="1" t="n">
        <v>18.9</v>
      </c>
      <c r="N29" s="1" t="n">
        <v>400</v>
      </c>
      <c r="O29" s="1" t="n">
        <v>9.1</v>
      </c>
      <c r="P29" s="8" t="n">
        <v>0.8</v>
      </c>
      <c r="Q29" s="1" t="n">
        <v>1167</v>
      </c>
      <c r="R29" s="1" t="n">
        <v>518</v>
      </c>
      <c r="S29" s="0" t="n">
        <f aca="false">ROUND(E29/35, 1)</f>
        <v>74.5</v>
      </c>
      <c r="T29" s="1" t="n">
        <v>63.5</v>
      </c>
      <c r="U29" s="1" t="n">
        <v>545</v>
      </c>
      <c r="V29" s="9" t="n">
        <v>868</v>
      </c>
      <c r="W29" s="10" t="n">
        <v>1</v>
      </c>
      <c r="X29" s="9" t="n">
        <v>2003</v>
      </c>
      <c r="Y29" s="11" t="n">
        <v>2.64575131106459</v>
      </c>
      <c r="Z29" s="1" t="n">
        <v>0.471</v>
      </c>
      <c r="AA29" s="12" t="n">
        <f aca="false">+10.1</f>
        <v>10.1</v>
      </c>
      <c r="AB29" s="1" t="n">
        <v>1</v>
      </c>
      <c r="AC29" s="9" t="n">
        <v>219</v>
      </c>
      <c r="AD29" s="13"/>
      <c r="AE29" s="14" t="n">
        <v>8.78</v>
      </c>
      <c r="AF29" s="14" t="n">
        <v>0.569</v>
      </c>
      <c r="AG29" s="15" t="n">
        <v>9.111111111</v>
      </c>
      <c r="AH29" s="1" t="n">
        <v>24.6571428571428</v>
      </c>
      <c r="AI29" s="14" t="n">
        <v>116.921003906885</v>
      </c>
      <c r="AJ29" s="14" t="n">
        <v>101.11703475491</v>
      </c>
      <c r="AK29" s="14" t="n">
        <v>56.8382068343486</v>
      </c>
      <c r="AL29" s="13" t="n">
        <v>0.659</v>
      </c>
      <c r="AM29" s="16" t="n">
        <v>7</v>
      </c>
      <c r="AN29" s="14" t="n">
        <v>23.2</v>
      </c>
      <c r="AO29" s="17" t="n">
        <v>0.5572</v>
      </c>
      <c r="AP29" s="18" t="n">
        <v>9.1</v>
      </c>
      <c r="AQ29" s="14" t="n">
        <v>23.2</v>
      </c>
      <c r="AR29" s="19" t="n">
        <v>0.613427561837456</v>
      </c>
      <c r="AS29" s="19" t="n">
        <v>0.369</v>
      </c>
      <c r="AT29" s="14" t="n">
        <v>88.39</v>
      </c>
    </row>
    <row r="30" customFormat="false" ht="12.75" hidden="false" customHeight="false" outlineLevel="0" collapsed="false">
      <c r="A30" s="1" t="s">
        <v>48</v>
      </c>
      <c r="B30" s="1" t="n">
        <v>1285</v>
      </c>
      <c r="C30" s="1"/>
      <c r="D30" s="1" t="n">
        <v>14</v>
      </c>
      <c r="E30" s="1" t="n">
        <v>2578</v>
      </c>
      <c r="F30" s="1" t="n">
        <v>8</v>
      </c>
      <c r="G30" s="1" t="n">
        <v>0</v>
      </c>
      <c r="H30" s="9" t="n">
        <v>-2.7</v>
      </c>
      <c r="I30" s="1" t="n">
        <v>110.1</v>
      </c>
      <c r="J30" s="1" t="n">
        <v>99.3</v>
      </c>
      <c r="K30" s="0" t="n">
        <f aca="false">I30-J30</f>
        <v>10.8</v>
      </c>
      <c r="L30" s="1" t="n">
        <v>0.634</v>
      </c>
      <c r="M30" s="1" t="n">
        <v>6.56</v>
      </c>
      <c r="N30" s="1" t="n">
        <v>543</v>
      </c>
      <c r="O30" s="1" t="n">
        <v>12.4</v>
      </c>
      <c r="P30" s="8" t="n">
        <v>0.788</v>
      </c>
      <c r="Q30" s="1" t="n">
        <v>1225</v>
      </c>
      <c r="R30" s="1" t="n">
        <v>421</v>
      </c>
      <c r="S30" s="0" t="n">
        <f aca="false">ROUND(E30/33, 1)</f>
        <v>78.1</v>
      </c>
      <c r="T30" s="1" t="n">
        <v>68.8</v>
      </c>
      <c r="U30" s="1" t="n">
        <v>695</v>
      </c>
      <c r="V30" s="9" t="n">
        <v>534</v>
      </c>
      <c r="W30" s="10" t="n">
        <v>0</v>
      </c>
      <c r="X30" s="9" t="n">
        <v>1965</v>
      </c>
      <c r="Y30" s="11" t="n">
        <v>0</v>
      </c>
      <c r="Z30" s="1" t="n">
        <v>0.471</v>
      </c>
      <c r="AA30" s="12" t="n">
        <f aca="false">+9.3</f>
        <v>9.3</v>
      </c>
      <c r="AB30" s="1" t="n">
        <v>0</v>
      </c>
      <c r="AC30" s="9" t="n">
        <v>256</v>
      </c>
      <c r="AD30" s="13"/>
      <c r="AE30" s="14" t="n">
        <v>-2.18</v>
      </c>
      <c r="AF30" s="14" t="n">
        <v>0.553</v>
      </c>
      <c r="AG30" s="15" t="n">
        <v>92.88888889</v>
      </c>
      <c r="AH30" s="1" t="n">
        <v>25.4375</v>
      </c>
      <c r="AI30" s="14" t="n">
        <v>115.731616393112</v>
      </c>
      <c r="AJ30" s="14" t="n">
        <v>102.075025029625</v>
      </c>
      <c r="AK30" s="14" t="n">
        <v>56.0355840649962</v>
      </c>
      <c r="AL30" s="13" t="n">
        <v>0.706</v>
      </c>
      <c r="AM30" s="16" t="n">
        <v>47</v>
      </c>
      <c r="AN30" s="14" t="n">
        <v>10.8</v>
      </c>
      <c r="AO30" s="17" t="n">
        <v>0.4666</v>
      </c>
      <c r="AP30" s="18" t="n">
        <v>12.4</v>
      </c>
      <c r="AQ30" s="14" t="n">
        <v>10.82</v>
      </c>
      <c r="AR30" s="19" t="n">
        <v>0.398507462686567</v>
      </c>
      <c r="AS30" s="19" t="n">
        <v>0.343</v>
      </c>
      <c r="AT30" s="14" t="n">
        <v>76.54</v>
      </c>
    </row>
    <row r="31" customFormat="false" ht="12.75" hidden="false" customHeight="false" outlineLevel="0" collapsed="false">
      <c r="A31" s="1" t="s">
        <v>49</v>
      </c>
      <c r="B31" s="1" t="n">
        <v>1401</v>
      </c>
      <c r="C31" s="1"/>
      <c r="D31" s="1" t="n">
        <v>7</v>
      </c>
      <c r="E31" s="1" t="n">
        <v>2400</v>
      </c>
      <c r="F31" s="1" t="n">
        <v>6</v>
      </c>
      <c r="G31" s="1" t="n">
        <v>3</v>
      </c>
      <c r="H31" s="9" t="n">
        <v>10.53</v>
      </c>
      <c r="I31" s="1" t="n">
        <v>111.2</v>
      </c>
      <c r="J31" s="1" t="n">
        <v>94.3</v>
      </c>
      <c r="K31" s="0" t="n">
        <f aca="false">I31-J31</f>
        <v>16.9</v>
      </c>
      <c r="L31" s="1" t="n">
        <v>0.556</v>
      </c>
      <c r="M31" s="1" t="n">
        <v>15.71</v>
      </c>
      <c r="N31" s="1" t="n">
        <v>415</v>
      </c>
      <c r="O31" s="1" t="n">
        <v>13.6</v>
      </c>
      <c r="P31" s="8" t="n">
        <v>0.625</v>
      </c>
      <c r="Q31" s="1" t="n">
        <v>1323</v>
      </c>
      <c r="R31" s="1" t="n">
        <v>495</v>
      </c>
      <c r="S31" s="0" t="n">
        <f aca="false">ROUND(E31/32, 1)</f>
        <v>75</v>
      </c>
      <c r="T31" s="1" t="n">
        <v>69.8</v>
      </c>
      <c r="U31" s="1" t="n">
        <v>536</v>
      </c>
      <c r="V31" s="9" t="n">
        <v>645</v>
      </c>
      <c r="W31" s="10" t="n">
        <v>0</v>
      </c>
      <c r="X31" s="9" t="n">
        <v>1942</v>
      </c>
      <c r="Y31" s="11" t="n">
        <v>2.64575131106459</v>
      </c>
      <c r="Z31" s="1" t="n">
        <v>0.457</v>
      </c>
      <c r="AA31" s="12" t="n">
        <f aca="false">+5.2</f>
        <v>5.2</v>
      </c>
      <c r="AB31" s="1" t="n">
        <v>1</v>
      </c>
      <c r="AC31" s="9" t="n">
        <v>180</v>
      </c>
      <c r="AD31" s="13"/>
      <c r="AE31" s="14" t="n">
        <v>11.34</v>
      </c>
      <c r="AF31" s="14" t="n">
        <v>0.536</v>
      </c>
      <c r="AG31" s="15" t="n">
        <v>28.22222222</v>
      </c>
      <c r="AH31" s="1" t="n">
        <v>29.030303030303</v>
      </c>
      <c r="AI31" s="14" t="n">
        <v>111.489438670948</v>
      </c>
      <c r="AJ31" s="14" t="n">
        <v>103.584756259965</v>
      </c>
      <c r="AK31" s="14" t="n">
        <v>54.4801068867687</v>
      </c>
      <c r="AL31" s="13" t="n">
        <v>0.667</v>
      </c>
      <c r="AM31" s="16" t="n">
        <v>47</v>
      </c>
      <c r="AN31" s="14" t="n">
        <v>16.9</v>
      </c>
      <c r="AO31" s="17" t="n">
        <v>0.591</v>
      </c>
      <c r="AP31" s="18" t="n">
        <v>13.6</v>
      </c>
      <c r="AQ31" s="14" t="n">
        <v>16.91</v>
      </c>
      <c r="AR31" s="19" t="n">
        <v>0.50390625</v>
      </c>
      <c r="AS31" s="19" t="n">
        <v>0.327</v>
      </c>
      <c r="AT31" s="14" t="n">
        <v>85.19</v>
      </c>
    </row>
    <row r="32" customFormat="false" ht="12.75" hidden="false" customHeight="false" outlineLevel="0" collapsed="false">
      <c r="A32" s="1" t="s">
        <v>50</v>
      </c>
      <c r="B32" s="1" t="n">
        <v>1344</v>
      </c>
      <c r="C32" s="1"/>
      <c r="D32" s="1" t="n">
        <v>10</v>
      </c>
      <c r="E32" s="1" t="n">
        <v>2506</v>
      </c>
      <c r="F32" s="1" t="n">
        <v>5</v>
      </c>
      <c r="G32" s="1" t="n">
        <v>4</v>
      </c>
      <c r="H32" s="9" t="n">
        <v>10.21</v>
      </c>
      <c r="I32" s="1" t="n">
        <v>108.9</v>
      </c>
      <c r="J32" s="1" t="n">
        <v>97</v>
      </c>
      <c r="K32" s="0" t="n">
        <f aca="false">I32-J32</f>
        <v>11.9</v>
      </c>
      <c r="L32" s="1" t="n">
        <v>0.593</v>
      </c>
      <c r="M32" s="1" t="n">
        <v>11.22</v>
      </c>
      <c r="N32" s="1" t="n">
        <v>545</v>
      </c>
      <c r="O32" s="1" t="n">
        <v>12.5</v>
      </c>
      <c r="P32" s="8" t="n">
        <v>0.618</v>
      </c>
      <c r="Q32" s="1" t="n">
        <v>1221</v>
      </c>
      <c r="R32" s="1" t="n">
        <v>468</v>
      </c>
      <c r="S32" s="0" t="n">
        <f aca="false">ROUND(E32/34, 1)</f>
        <v>73.7</v>
      </c>
      <c r="T32" s="1" t="n">
        <v>72.7</v>
      </c>
      <c r="U32" s="1" t="n">
        <v>601</v>
      </c>
      <c r="V32" s="9" t="n">
        <v>651</v>
      </c>
      <c r="W32" s="10" t="n">
        <v>0</v>
      </c>
      <c r="X32" s="9" t="n">
        <v>1975</v>
      </c>
      <c r="Y32" s="11" t="n">
        <v>2.23606797749979</v>
      </c>
      <c r="Z32" s="1" t="n">
        <v>0.442</v>
      </c>
      <c r="AA32" s="12" t="n">
        <f aca="false">+1</f>
        <v>1</v>
      </c>
      <c r="AB32" s="1" t="n">
        <v>1</v>
      </c>
      <c r="AC32" s="9" t="n">
        <v>233</v>
      </c>
      <c r="AD32" s="13"/>
      <c r="AE32" s="14" t="n">
        <v>10.42</v>
      </c>
      <c r="AF32" s="14" t="n">
        <v>0.535</v>
      </c>
      <c r="AG32" s="15" t="n">
        <v>57.33333333</v>
      </c>
      <c r="AH32" s="1" t="n">
        <v>25.3714285714285</v>
      </c>
      <c r="AI32" s="14" t="n">
        <v>110.186082451683</v>
      </c>
      <c r="AJ32" s="14" t="n">
        <v>107.537487108062</v>
      </c>
      <c r="AK32" s="14" t="n">
        <v>54.4340609560655</v>
      </c>
      <c r="AL32" s="13" t="n">
        <v>0.703</v>
      </c>
      <c r="AM32" s="16" t="n">
        <v>30</v>
      </c>
      <c r="AN32" s="14" t="n">
        <v>11.9</v>
      </c>
      <c r="AO32" s="17" t="n">
        <v>0.5912</v>
      </c>
      <c r="AP32" s="18" t="n">
        <v>12.5</v>
      </c>
      <c r="AQ32" s="14" t="n">
        <v>11.92</v>
      </c>
      <c r="AR32" s="19" t="n">
        <v>0.470036101083033</v>
      </c>
      <c r="AS32" s="19" t="n">
        <v>0.333</v>
      </c>
      <c r="AT32" s="14" t="n">
        <v>81.46</v>
      </c>
    </row>
    <row r="33" customFormat="false" ht="12.75" hidden="false" customHeight="false" outlineLevel="0" collapsed="false">
      <c r="A33" s="1" t="s">
        <v>51</v>
      </c>
      <c r="B33" s="1" t="n">
        <v>1314</v>
      </c>
      <c r="C33" s="1"/>
      <c r="D33" s="1" t="n">
        <v>2</v>
      </c>
      <c r="E33" s="1" t="n">
        <v>2869</v>
      </c>
      <c r="F33" s="1" t="n">
        <v>7</v>
      </c>
      <c r="G33" s="1" t="n">
        <v>27</v>
      </c>
      <c r="H33" s="9" t="n">
        <v>12.45</v>
      </c>
      <c r="I33" s="1" t="n">
        <v>122</v>
      </c>
      <c r="J33" s="1" t="n">
        <v>96.9</v>
      </c>
      <c r="K33" s="0" t="n">
        <f aca="false">I33-J33</f>
        <v>25.1</v>
      </c>
      <c r="L33" s="1" t="n">
        <v>0.788</v>
      </c>
      <c r="M33" s="1" t="n">
        <v>21.29</v>
      </c>
      <c r="N33" s="1" t="n">
        <v>483</v>
      </c>
      <c r="O33" s="1" t="n">
        <v>12</v>
      </c>
      <c r="P33" s="8" t="n">
        <v>0.714</v>
      </c>
      <c r="Q33" s="1" t="n">
        <v>1487</v>
      </c>
      <c r="R33" s="1" t="n">
        <v>637</v>
      </c>
      <c r="S33" s="0" t="n">
        <f aca="false">ROUND(E33/35, 1)</f>
        <v>82</v>
      </c>
      <c r="T33" s="1" t="n">
        <v>73.1</v>
      </c>
      <c r="U33" s="1" t="n">
        <v>550</v>
      </c>
      <c r="V33" s="9" t="n">
        <v>796</v>
      </c>
      <c r="W33" s="10" t="n">
        <v>3</v>
      </c>
      <c r="X33" s="9" t="n">
        <v>2279</v>
      </c>
      <c r="Y33" s="11" t="n">
        <v>3</v>
      </c>
      <c r="Z33" s="1" t="n">
        <v>0.46</v>
      </c>
      <c r="AA33" s="12" t="n">
        <f aca="false">+8.9</f>
        <v>8.9</v>
      </c>
      <c r="AB33" s="1" t="n">
        <v>1</v>
      </c>
      <c r="AC33" s="9" t="n">
        <v>197</v>
      </c>
      <c r="AD33" s="13"/>
      <c r="AE33" s="14" t="n">
        <v>14.05</v>
      </c>
      <c r="AF33" s="14" t="n">
        <v>0.554</v>
      </c>
      <c r="AG33" s="15" t="n">
        <v>9.888888889</v>
      </c>
      <c r="AH33" s="1" t="n">
        <v>28.4166666666666</v>
      </c>
      <c r="AI33" s="14" t="n">
        <v>120.360314349096</v>
      </c>
      <c r="AJ33" s="14" t="n">
        <v>107.577713906539</v>
      </c>
      <c r="AK33" s="14" t="n">
        <v>56.077136666999</v>
      </c>
      <c r="AL33" s="13" t="n">
        <v>0.741</v>
      </c>
      <c r="AM33" s="16" t="n">
        <v>10</v>
      </c>
      <c r="AN33" s="14" t="n">
        <v>25.1</v>
      </c>
      <c r="AO33" s="17" t="n">
        <v>0.6223</v>
      </c>
      <c r="AP33" s="18" t="n">
        <v>12</v>
      </c>
      <c r="AQ33" s="14" t="n">
        <v>25.03</v>
      </c>
      <c r="AR33" s="19" t="n">
        <v>0.566548042704626</v>
      </c>
      <c r="AS33" s="19" t="n">
        <v>0.364</v>
      </c>
      <c r="AT33" s="14" t="n">
        <v>90.98</v>
      </c>
    </row>
    <row r="34" customFormat="false" ht="12.75" hidden="false" customHeight="false" outlineLevel="0" collapsed="false">
      <c r="A34" s="1" t="s">
        <v>52</v>
      </c>
      <c r="B34" s="1" t="n">
        <v>1252</v>
      </c>
      <c r="C34" s="1"/>
      <c r="D34" s="1" t="n">
        <v>15</v>
      </c>
      <c r="E34" s="1" t="n">
        <v>2642</v>
      </c>
      <c r="F34" s="1" t="n">
        <v>9</v>
      </c>
      <c r="G34" s="1" t="n">
        <v>0</v>
      </c>
      <c r="H34" s="9" t="n">
        <v>-4.39</v>
      </c>
      <c r="I34" s="1" t="n">
        <v>103.8</v>
      </c>
      <c r="J34" s="1" t="n">
        <v>103.4</v>
      </c>
      <c r="K34" s="0" t="n">
        <f aca="false">I34-J34</f>
        <v>0.399999999999991</v>
      </c>
      <c r="L34" s="1" t="n">
        <v>0.493</v>
      </c>
      <c r="M34" s="1" t="n">
        <v>-2.03</v>
      </c>
      <c r="N34" s="1" t="n">
        <v>580</v>
      </c>
      <c r="O34" s="1" t="n">
        <v>15</v>
      </c>
      <c r="P34" s="8" t="n">
        <v>0.719</v>
      </c>
      <c r="Q34" s="1" t="n">
        <v>1247</v>
      </c>
      <c r="R34" s="1" t="n">
        <v>503</v>
      </c>
      <c r="S34" s="0" t="n">
        <f aca="false">ROUND(E34/32, 1)</f>
        <v>82.6</v>
      </c>
      <c r="T34" s="1" t="n">
        <v>78.5</v>
      </c>
      <c r="U34" s="1" t="n">
        <v>638</v>
      </c>
      <c r="V34" s="9" t="n">
        <v>785</v>
      </c>
      <c r="W34" s="10" t="n">
        <v>0</v>
      </c>
      <c r="X34" s="9" t="n">
        <v>1976</v>
      </c>
      <c r="Y34" s="11" t="n">
        <v>0</v>
      </c>
      <c r="Z34" s="1" t="n">
        <v>0.456</v>
      </c>
      <c r="AA34" s="12" t="n">
        <f aca="false">+2.4</f>
        <v>2.4</v>
      </c>
      <c r="AB34" s="1" t="n">
        <v>0</v>
      </c>
      <c r="AC34" s="9" t="n">
        <v>207</v>
      </c>
      <c r="AD34" s="13"/>
      <c r="AE34" s="14" t="n">
        <v>-4.94</v>
      </c>
      <c r="AF34" s="14" t="n">
        <v>0.559</v>
      </c>
      <c r="AG34" s="15" t="n">
        <v>143</v>
      </c>
      <c r="AH34" s="1" t="n">
        <v>27.3333333333333</v>
      </c>
      <c r="AI34" s="14" t="n">
        <v>109.667891233786</v>
      </c>
      <c r="AJ34" s="14" t="n">
        <v>105.940451299318</v>
      </c>
      <c r="AK34" s="14" t="n">
        <v>56.8163652365609</v>
      </c>
      <c r="AL34" s="13" t="n">
        <v>0.715</v>
      </c>
      <c r="AM34" s="16" t="n">
        <v>47</v>
      </c>
      <c r="AN34" s="14" t="n">
        <v>0.4</v>
      </c>
      <c r="AO34" s="17" t="n">
        <v>0.472</v>
      </c>
      <c r="AP34" s="18" t="n">
        <v>15</v>
      </c>
      <c r="AQ34" s="14" t="n">
        <v>0.38</v>
      </c>
      <c r="AR34" s="19" t="n">
        <v>0.603846153846154</v>
      </c>
      <c r="AS34" s="19" t="n">
        <v>0.331</v>
      </c>
      <c r="AT34" s="14" t="n">
        <v>70.98</v>
      </c>
    </row>
    <row r="35" customFormat="false" ht="12.75" hidden="false" customHeight="false" outlineLevel="0" collapsed="false">
      <c r="A35" s="1" t="s">
        <v>53</v>
      </c>
      <c r="B35" s="1" t="n">
        <v>1437</v>
      </c>
      <c r="C35" s="1"/>
      <c r="D35" s="1" t="n">
        <v>1</v>
      </c>
      <c r="E35" s="1" t="n">
        <v>2960</v>
      </c>
      <c r="F35" s="1" t="n">
        <v>8</v>
      </c>
      <c r="G35" s="1" t="n">
        <v>14</v>
      </c>
      <c r="H35" s="9" t="n">
        <v>9.53</v>
      </c>
      <c r="I35" s="1" t="n">
        <v>127.4</v>
      </c>
      <c r="J35" s="1" t="n">
        <v>96</v>
      </c>
      <c r="K35" s="0" t="n">
        <f aca="false">I35-J35</f>
        <v>31.4</v>
      </c>
      <c r="L35" s="1" t="n">
        <v>0.683</v>
      </c>
      <c r="M35" s="1" t="n">
        <v>25.69</v>
      </c>
      <c r="N35" s="1" t="n">
        <v>462</v>
      </c>
      <c r="O35" s="1" t="n">
        <v>10.4</v>
      </c>
      <c r="P35" s="8" t="n">
        <v>0.882</v>
      </c>
      <c r="Q35" s="1" t="n">
        <v>1208</v>
      </c>
      <c r="R35" s="1" t="n">
        <v>567</v>
      </c>
      <c r="S35" s="0" t="n">
        <f aca="false">ROUND(E35/34, 1)</f>
        <v>87.1</v>
      </c>
      <c r="T35" s="1" t="n">
        <v>70.9</v>
      </c>
      <c r="U35" s="1" t="n">
        <v>539</v>
      </c>
      <c r="V35" s="9" t="n">
        <v>975</v>
      </c>
      <c r="W35" s="10" t="n">
        <v>1.4142135623731</v>
      </c>
      <c r="X35" s="9" t="n">
        <v>2092</v>
      </c>
      <c r="Y35" s="11" t="n">
        <v>3.46410161513775</v>
      </c>
      <c r="Z35" s="1" t="n">
        <v>0.504</v>
      </c>
      <c r="AA35" s="12" t="n">
        <f aca="false">+16.2</f>
        <v>16.2</v>
      </c>
      <c r="AB35" s="1" t="n">
        <v>1</v>
      </c>
      <c r="AC35" s="9" t="n">
        <v>227</v>
      </c>
      <c r="AD35" s="13"/>
      <c r="AE35" s="14" t="n">
        <v>10.23</v>
      </c>
      <c r="AF35" s="14" t="n">
        <v>0.623</v>
      </c>
      <c r="AG35" s="15" t="n">
        <v>2</v>
      </c>
      <c r="AH35" s="1" t="n">
        <v>26.2857142857142</v>
      </c>
      <c r="AI35" s="14" t="n">
        <v>128.581800077389</v>
      </c>
      <c r="AJ35" s="14" t="n">
        <v>104.530354213574</v>
      </c>
      <c r="AK35" s="14" t="n">
        <v>62.6116622165822</v>
      </c>
      <c r="AL35" s="13" t="n">
        <v>0.771</v>
      </c>
      <c r="AM35" s="16" t="n">
        <v>2</v>
      </c>
      <c r="AN35" s="14" t="n">
        <v>31.4</v>
      </c>
      <c r="AO35" s="17" t="n">
        <v>0.5888</v>
      </c>
      <c r="AP35" s="18" t="n">
        <v>10.4</v>
      </c>
      <c r="AQ35" s="14" t="n">
        <v>31.41</v>
      </c>
      <c r="AR35" s="19" t="n">
        <v>0.709090909090909</v>
      </c>
      <c r="AS35" s="19" t="n">
        <v>0.398</v>
      </c>
      <c r="AT35" s="14" t="n">
        <v>94.67</v>
      </c>
    </row>
    <row r="36" customFormat="false" ht="12.75" hidden="false" customHeight="false" outlineLevel="0" collapsed="false">
      <c r="A36" s="1" t="s">
        <v>54</v>
      </c>
      <c r="B36" s="1" t="n">
        <v>1254</v>
      </c>
      <c r="C36" s="1"/>
      <c r="D36" s="1" t="n">
        <v>16</v>
      </c>
      <c r="E36" s="1" t="n">
        <v>2635</v>
      </c>
      <c r="F36" s="1" t="n">
        <v>7</v>
      </c>
      <c r="G36" s="1" t="n">
        <v>1</v>
      </c>
      <c r="H36" s="9" t="n">
        <v>-7.94</v>
      </c>
      <c r="I36" s="1" t="n">
        <v>103.3</v>
      </c>
      <c r="J36" s="1" t="n">
        <v>111.1</v>
      </c>
      <c r="K36" s="0" t="n">
        <f aca="false">I36-J36</f>
        <v>-7.8</v>
      </c>
      <c r="L36" s="1" t="n">
        <v>0.531</v>
      </c>
      <c r="M36" s="1" t="n">
        <v>-8.07</v>
      </c>
      <c r="N36" s="1" t="n">
        <v>531</v>
      </c>
      <c r="O36" s="1" t="n">
        <v>14.1</v>
      </c>
      <c r="P36" s="8" t="n">
        <v>0.529</v>
      </c>
      <c r="Q36" s="1" t="n">
        <v>1295</v>
      </c>
      <c r="R36" s="1" t="n">
        <v>429</v>
      </c>
      <c r="S36" s="0" t="n">
        <f aca="false">ROUND(E36/34, 1)</f>
        <v>77.5</v>
      </c>
      <c r="T36" s="1" t="n">
        <v>76.8</v>
      </c>
      <c r="U36" s="1" t="n">
        <v>668</v>
      </c>
      <c r="V36" s="9" t="n">
        <v>789</v>
      </c>
      <c r="W36" s="10" t="n">
        <v>0</v>
      </c>
      <c r="X36" s="9" t="n">
        <v>2005</v>
      </c>
      <c r="Y36" s="11" t="n">
        <v>0</v>
      </c>
      <c r="Z36" s="1" t="n">
        <v>0.457</v>
      </c>
      <c r="AA36" s="12" t="n">
        <v>-0.1</v>
      </c>
      <c r="AB36" s="1" t="n">
        <v>0</v>
      </c>
      <c r="AC36" s="9" t="n">
        <v>191</v>
      </c>
      <c r="AD36" s="13"/>
      <c r="AE36" s="14" t="n">
        <v>-8.39</v>
      </c>
      <c r="AF36" s="14" t="n">
        <v>0.557</v>
      </c>
      <c r="AG36" s="15" t="n">
        <v>253</v>
      </c>
      <c r="AH36" s="1" t="n">
        <v>26.9411764705882</v>
      </c>
      <c r="AI36" s="14" t="n">
        <v>115.638986221372</v>
      </c>
      <c r="AJ36" s="14" t="n">
        <v>102.577467064107</v>
      </c>
      <c r="AK36" s="14" t="n">
        <v>55.2463469895357</v>
      </c>
      <c r="AL36" s="13" t="n">
        <v>0.696</v>
      </c>
      <c r="AM36" s="16" t="n">
        <v>47</v>
      </c>
      <c r="AN36" s="14" t="n">
        <v>-7.8</v>
      </c>
      <c r="AO36" s="17" t="n">
        <v>0.4452</v>
      </c>
      <c r="AP36" s="18" t="n">
        <v>14.1</v>
      </c>
      <c r="AQ36" s="14" t="n">
        <v>-7.8</v>
      </c>
      <c r="AR36" s="19" t="n">
        <v>0.578021978021978</v>
      </c>
      <c r="AS36" s="19" t="n">
        <v>0.345</v>
      </c>
      <c r="AT36" s="14" t="n">
        <v>64.67</v>
      </c>
    </row>
    <row r="37" customFormat="false" ht="12.75" hidden="false" customHeight="false" outlineLevel="0" collapsed="false">
      <c r="A37" s="1" t="s">
        <v>55</v>
      </c>
      <c r="B37" s="1" t="n">
        <v>1347</v>
      </c>
      <c r="C37" s="1"/>
      <c r="D37" s="1" t="n">
        <v>16</v>
      </c>
      <c r="E37" s="1" t="n">
        <v>2290</v>
      </c>
      <c r="F37" s="1" t="n">
        <v>7</v>
      </c>
      <c r="G37" s="1" t="n">
        <v>0</v>
      </c>
      <c r="H37" s="9" t="n">
        <v>-4.85</v>
      </c>
      <c r="I37" s="1" t="n">
        <v>103.6</v>
      </c>
      <c r="J37" s="1" t="n">
        <v>103.6</v>
      </c>
      <c r="K37" s="0" t="n">
        <f aca="false">I37-J37</f>
        <v>0</v>
      </c>
      <c r="L37" s="1" t="n">
        <v>0.5</v>
      </c>
      <c r="M37" s="1" t="n">
        <v>-2.8</v>
      </c>
      <c r="N37" s="1" t="n">
        <v>423</v>
      </c>
      <c r="O37" s="1" t="n">
        <v>12.2</v>
      </c>
      <c r="P37" s="8" t="n">
        <v>0.647</v>
      </c>
      <c r="Q37" s="1" t="n">
        <v>1175</v>
      </c>
      <c r="R37" s="1" t="n">
        <v>415</v>
      </c>
      <c r="S37" s="0" t="n">
        <f aca="false">ROUND(E37/34, 1)</f>
        <v>67.4</v>
      </c>
      <c r="T37" s="1" t="n">
        <v>64.9</v>
      </c>
      <c r="U37" s="1" t="n">
        <v>556</v>
      </c>
      <c r="V37" s="9" t="n">
        <v>752</v>
      </c>
      <c r="W37" s="10" t="n">
        <v>0</v>
      </c>
      <c r="X37" s="9" t="n">
        <v>1882</v>
      </c>
      <c r="Y37" s="11" t="n">
        <v>0</v>
      </c>
      <c r="Z37" s="1" t="n">
        <v>0.426</v>
      </c>
      <c r="AA37" s="12" t="n">
        <f aca="false">+2.1</f>
        <v>2.1</v>
      </c>
      <c r="AB37" s="1" t="n">
        <v>0</v>
      </c>
      <c r="AC37" s="9" t="n">
        <v>214</v>
      </c>
      <c r="AD37" s="13"/>
      <c r="AE37" s="14" t="n">
        <v>-4.43</v>
      </c>
      <c r="AF37" s="14" t="n">
        <v>0.53</v>
      </c>
      <c r="AG37" s="15" t="n">
        <v>164.8888889</v>
      </c>
      <c r="AH37" s="1" t="n">
        <v>23.060606060606</v>
      </c>
      <c r="AI37" s="14" t="n">
        <v>109.072746996329</v>
      </c>
      <c r="AJ37" s="14" t="n">
        <v>105.941742452117</v>
      </c>
      <c r="AK37" s="14" t="n">
        <v>53.6766287379749</v>
      </c>
      <c r="AL37" s="13" t="n">
        <v>0.723</v>
      </c>
      <c r="AM37" s="16" t="n">
        <v>47</v>
      </c>
      <c r="AN37" s="14" t="n">
        <v>0</v>
      </c>
      <c r="AO37" s="17" t="n">
        <v>0.4672</v>
      </c>
      <c r="AP37" s="18" t="n">
        <v>12.2</v>
      </c>
      <c r="AQ37" s="14" t="n">
        <v>-0.02</v>
      </c>
      <c r="AR37" s="19" t="n">
        <v>0.542960288808664</v>
      </c>
      <c r="AS37" s="19" t="n">
        <v>0.35</v>
      </c>
      <c r="AT37" s="14" t="n">
        <v>72.17</v>
      </c>
    </row>
    <row r="38" customFormat="false" ht="12.75" hidden="false" customHeight="false" outlineLevel="0" collapsed="false">
      <c r="A38" s="1" t="s">
        <v>56</v>
      </c>
      <c r="B38" s="1" t="n">
        <v>1439</v>
      </c>
      <c r="C38" s="1"/>
      <c r="D38" s="1" t="n">
        <v>8</v>
      </c>
      <c r="E38" s="1" t="n">
        <v>2551</v>
      </c>
      <c r="F38" s="1" t="n">
        <v>5</v>
      </c>
      <c r="G38" s="1" t="n">
        <v>6</v>
      </c>
      <c r="H38" s="9" t="n">
        <v>6.92</v>
      </c>
      <c r="I38" s="1" t="n">
        <v>115</v>
      </c>
      <c r="J38" s="1" t="n">
        <v>98.4</v>
      </c>
      <c r="K38" s="0" t="n">
        <f aca="false">I38-J38</f>
        <v>16.6</v>
      </c>
      <c r="L38" s="1" t="n">
        <v>0.61</v>
      </c>
      <c r="M38" s="1" t="n">
        <v>14.88</v>
      </c>
      <c r="N38" s="1" t="n">
        <v>469</v>
      </c>
      <c r="O38" s="1" t="n">
        <v>11.9</v>
      </c>
      <c r="P38" s="8" t="n">
        <v>0.656</v>
      </c>
      <c r="Q38" s="1" t="n">
        <v>1056</v>
      </c>
      <c r="R38" s="1" t="n">
        <v>528</v>
      </c>
      <c r="S38" s="0" t="n">
        <f aca="false">ROUND(E38/32, 1)</f>
        <v>79.7</v>
      </c>
      <c r="T38" s="1" t="n">
        <v>71.8</v>
      </c>
      <c r="U38" s="1" t="n">
        <v>502</v>
      </c>
      <c r="V38" s="9" t="n">
        <v>727</v>
      </c>
      <c r="W38" s="10" t="n">
        <v>0</v>
      </c>
      <c r="X38" s="9" t="n">
        <v>1811</v>
      </c>
      <c r="Y38" s="11" t="n">
        <v>2.44948974278318</v>
      </c>
      <c r="Z38" s="21" t="n">
        <v>0.498</v>
      </c>
      <c r="AA38" s="12" t="n">
        <f aca="false">+8</f>
        <v>8</v>
      </c>
      <c r="AB38" s="1" t="n">
        <v>1</v>
      </c>
      <c r="AC38" s="9" t="n">
        <v>224</v>
      </c>
      <c r="AD38" s="13"/>
      <c r="AE38" s="14" t="n">
        <v>8.18</v>
      </c>
      <c r="AF38" s="14" t="n">
        <v>0.6</v>
      </c>
      <c r="AG38" s="15" t="n">
        <v>31.44444444</v>
      </c>
      <c r="AH38" s="1" t="n">
        <v>25.8181818181818</v>
      </c>
      <c r="AI38" s="14" t="n">
        <v>118.619733254448</v>
      </c>
      <c r="AJ38" s="14" t="n">
        <v>106.444473193973</v>
      </c>
      <c r="AK38" s="14" t="n">
        <v>60.5451751562839</v>
      </c>
      <c r="AL38" s="13" t="n">
        <v>0.71</v>
      </c>
      <c r="AM38" s="16" t="n">
        <v>41</v>
      </c>
      <c r="AN38" s="14" t="n">
        <v>16.6</v>
      </c>
      <c r="AO38" s="17" t="n">
        <v>0.5466</v>
      </c>
      <c r="AP38" s="18" t="n">
        <v>11.9</v>
      </c>
      <c r="AQ38" s="14" t="n">
        <v>16.63</v>
      </c>
      <c r="AR38" s="19" t="n">
        <v>0.561389961389961</v>
      </c>
      <c r="AS38" s="19" t="n">
        <v>0.385</v>
      </c>
      <c r="AT38" s="14" t="n">
        <v>84.77</v>
      </c>
    </row>
    <row r="39" customFormat="false" ht="12.75" hidden="false" customHeight="false" outlineLevel="0" collapsed="false">
      <c r="A39" s="1" t="s">
        <v>57</v>
      </c>
      <c r="B39" s="1" t="n">
        <v>1104</v>
      </c>
      <c r="C39" s="1"/>
      <c r="D39" s="1" t="n">
        <v>9</v>
      </c>
      <c r="E39" s="1" t="n">
        <v>2460</v>
      </c>
      <c r="F39" s="1" t="n">
        <v>4</v>
      </c>
      <c r="G39" s="1" t="n">
        <v>0</v>
      </c>
      <c r="H39" s="9" t="n">
        <v>10.58</v>
      </c>
      <c r="I39" s="1" t="n">
        <v>108.5</v>
      </c>
      <c r="J39" s="1" t="n">
        <v>94.6</v>
      </c>
      <c r="K39" s="0" t="n">
        <f aca="false">I39-J39</f>
        <v>13.9</v>
      </c>
      <c r="L39" s="1" t="n">
        <v>0.554</v>
      </c>
      <c r="M39" s="1" t="n">
        <v>12.96</v>
      </c>
      <c r="N39" s="1" t="n">
        <v>523</v>
      </c>
      <c r="O39" s="1" t="n">
        <v>14.1</v>
      </c>
      <c r="P39" s="8" t="n">
        <v>0.559</v>
      </c>
      <c r="Q39" s="1" t="n">
        <v>1231</v>
      </c>
      <c r="R39" s="1" t="n">
        <v>426</v>
      </c>
      <c r="S39" s="0" t="n">
        <f aca="false">ROUND(E39/34, 1)</f>
        <v>72.4</v>
      </c>
      <c r="T39" s="1" t="n">
        <v>70</v>
      </c>
      <c r="U39" s="1" t="n">
        <v>645</v>
      </c>
      <c r="V39" s="9" t="n">
        <v>668</v>
      </c>
      <c r="W39" s="10" t="n">
        <v>0</v>
      </c>
      <c r="X39" s="9" t="n">
        <v>1877</v>
      </c>
      <c r="Y39" s="11" t="n">
        <v>3</v>
      </c>
      <c r="Z39" s="1" t="n">
        <v>0.458</v>
      </c>
      <c r="AA39" s="12" t="n">
        <f aca="false">+2.4</f>
        <v>2.4</v>
      </c>
      <c r="AB39" s="1" t="n">
        <v>1</v>
      </c>
      <c r="AC39" s="9" t="n">
        <v>218</v>
      </c>
      <c r="AD39" s="13"/>
      <c r="AE39" s="14" t="n">
        <v>11.03</v>
      </c>
      <c r="AF39" s="14" t="n">
        <v>0.548</v>
      </c>
      <c r="AG39" s="15" t="n">
        <v>55.66666667</v>
      </c>
      <c r="AH39" s="1" t="n">
        <v>26.2857142857142</v>
      </c>
      <c r="AI39" s="14" t="n">
        <v>108.501793295388</v>
      </c>
      <c r="AJ39" s="14" t="n">
        <v>104.882829960063</v>
      </c>
      <c r="AK39" s="14" t="n">
        <v>55.6102472488364</v>
      </c>
      <c r="AL39" s="13" t="n">
        <v>0.672</v>
      </c>
      <c r="AM39" s="16" t="n">
        <v>47</v>
      </c>
      <c r="AN39" s="14" t="n">
        <v>13.9</v>
      </c>
      <c r="AO39" s="17" t="n">
        <v>0.5995</v>
      </c>
      <c r="AP39" s="18" t="n">
        <v>14.1</v>
      </c>
      <c r="AQ39" s="14" t="n">
        <v>13.82</v>
      </c>
      <c r="AR39" s="19" t="n">
        <v>0.491176470588235</v>
      </c>
      <c r="AS39" s="19" t="n">
        <v>0.325</v>
      </c>
      <c r="AT39" s="14" t="n">
        <v>82.62</v>
      </c>
    </row>
    <row r="40" customFormat="false" ht="12.75" hidden="false" customHeight="false" outlineLevel="0" collapsed="false">
      <c r="A40" s="1" t="s">
        <v>58</v>
      </c>
      <c r="B40" s="1" t="n">
        <v>1452</v>
      </c>
      <c r="C40" s="1"/>
      <c r="D40" s="1" t="n">
        <v>5</v>
      </c>
      <c r="E40" s="1" t="n">
        <v>2707</v>
      </c>
      <c r="F40" s="1" t="n">
        <v>6</v>
      </c>
      <c r="G40" s="1" t="n">
        <v>23</v>
      </c>
      <c r="H40" s="9" t="n">
        <v>9.55</v>
      </c>
      <c r="I40" s="1" t="n">
        <v>119.2</v>
      </c>
      <c r="J40" s="1" t="n">
        <v>97.4</v>
      </c>
      <c r="K40" s="0" t="n">
        <f aca="false">I40-J40</f>
        <v>21.8</v>
      </c>
      <c r="L40" s="1" t="n">
        <v>0.71</v>
      </c>
      <c r="M40" s="1" t="n">
        <v>20.17</v>
      </c>
      <c r="N40" s="1" t="n">
        <v>520</v>
      </c>
      <c r="O40" s="1" t="n">
        <v>11.3</v>
      </c>
      <c r="P40" s="8" t="n">
        <v>0.706</v>
      </c>
      <c r="Q40" s="1" t="n">
        <v>1289</v>
      </c>
      <c r="R40" s="1" t="n">
        <v>512</v>
      </c>
      <c r="S40" s="0" t="n">
        <f aca="false">ROUND(E40/34, 1)</f>
        <v>79.6</v>
      </c>
      <c r="T40" s="1" t="n">
        <v>69</v>
      </c>
      <c r="U40" s="1" t="n">
        <v>725</v>
      </c>
      <c r="V40" s="9" t="n">
        <v>847</v>
      </c>
      <c r="W40" s="10" t="n">
        <v>1.4142135623731</v>
      </c>
      <c r="X40" s="9" t="n">
        <v>2176</v>
      </c>
      <c r="Y40" s="11" t="n">
        <v>3.16227766016838</v>
      </c>
      <c r="Z40" s="1" t="n">
        <v>0.434</v>
      </c>
      <c r="AA40" s="12" t="n">
        <f aca="false">+10.6</f>
        <v>10.6</v>
      </c>
      <c r="AB40" s="1" t="n">
        <v>1</v>
      </c>
      <c r="AC40" s="9" t="n">
        <v>273</v>
      </c>
      <c r="AD40" s="13"/>
      <c r="AE40" s="14" t="n">
        <v>10.48</v>
      </c>
      <c r="AF40" s="14" t="n">
        <v>0.542</v>
      </c>
      <c r="AG40" s="15" t="n">
        <v>16.11111111</v>
      </c>
      <c r="AH40" s="1" t="n">
        <v>23.8857142857142</v>
      </c>
      <c r="AI40" s="14" t="n">
        <v>118.024120574266</v>
      </c>
      <c r="AJ40" s="14" t="n">
        <v>104.002971857149</v>
      </c>
      <c r="AK40" s="14" t="n">
        <v>54.6344774939314</v>
      </c>
      <c r="AL40" s="13" t="n">
        <v>0.766</v>
      </c>
      <c r="AM40" s="16" t="n">
        <v>15</v>
      </c>
      <c r="AN40" s="14" t="n">
        <v>21.8</v>
      </c>
      <c r="AO40" s="17" t="n">
        <v>0.5682</v>
      </c>
      <c r="AP40" s="18" t="n">
        <v>11.3</v>
      </c>
      <c r="AQ40" s="14" t="n">
        <v>21.77</v>
      </c>
      <c r="AR40" s="19" t="n">
        <v>0.620512820512821</v>
      </c>
      <c r="AS40" s="19" t="n">
        <v>0.353</v>
      </c>
      <c r="AT40" s="14" t="n">
        <v>90.17</v>
      </c>
    </row>
    <row r="41" customFormat="false" ht="12.75" hidden="false" customHeight="false" outlineLevel="0" collapsed="false">
      <c r="A41" s="1" t="s">
        <v>59</v>
      </c>
      <c r="B41" s="1" t="n">
        <v>1293</v>
      </c>
      <c r="C41" s="1"/>
      <c r="D41" s="1" t="n">
        <v>12</v>
      </c>
      <c r="E41" s="1" t="n">
        <v>2447</v>
      </c>
      <c r="F41" s="1" t="n">
        <v>10</v>
      </c>
      <c r="G41" s="1" t="n">
        <v>0</v>
      </c>
      <c r="H41" s="9" t="n">
        <v>-4.15</v>
      </c>
      <c r="I41" s="1" t="n">
        <v>113.1</v>
      </c>
      <c r="J41" s="1" t="n">
        <v>100.4</v>
      </c>
      <c r="K41" s="0" t="n">
        <f aca="false">I41-J41</f>
        <v>12.7</v>
      </c>
      <c r="L41" s="1" t="n">
        <v>0.621</v>
      </c>
      <c r="M41" s="1" t="n">
        <v>7.19</v>
      </c>
      <c r="N41" s="1" t="n">
        <v>485</v>
      </c>
      <c r="O41" s="1" t="n">
        <v>11.9</v>
      </c>
      <c r="P41" s="8" t="n">
        <v>0.839</v>
      </c>
      <c r="Q41" s="1" t="n">
        <v>1150</v>
      </c>
      <c r="R41" s="1" t="n">
        <v>459</v>
      </c>
      <c r="S41" s="0" t="n">
        <f aca="false">ROUND(E41/31, 1)</f>
        <v>78.9</v>
      </c>
      <c r="T41" s="1" t="n">
        <v>66</v>
      </c>
      <c r="U41" s="1" t="n">
        <v>537</v>
      </c>
      <c r="V41" s="9" t="n">
        <v>696</v>
      </c>
      <c r="W41" s="10" t="n">
        <v>0</v>
      </c>
      <c r="X41" s="9" t="n">
        <v>1752</v>
      </c>
      <c r="Y41" s="11" t="n">
        <v>1.4142135623731</v>
      </c>
      <c r="Z41" s="1" t="n">
        <v>0.485</v>
      </c>
      <c r="AA41" s="12" t="n">
        <f aca="false">+11.3</f>
        <v>11.3</v>
      </c>
      <c r="AB41" s="1" t="n">
        <v>0</v>
      </c>
      <c r="AC41" s="9" t="n">
        <v>211</v>
      </c>
      <c r="AD41" s="13"/>
      <c r="AE41" s="14" t="n">
        <v>-4.19</v>
      </c>
      <c r="AF41" s="14" t="n">
        <v>0.592</v>
      </c>
      <c r="AG41" s="15" t="n">
        <v>60.55555556</v>
      </c>
      <c r="AH41" s="1" t="n">
        <v>26.1</v>
      </c>
      <c r="AI41" s="14" t="n">
        <v>119.795823362687</v>
      </c>
      <c r="AJ41" s="14" t="n">
        <v>102.533998547778</v>
      </c>
      <c r="AK41" s="14" t="n">
        <v>59.0146374465165</v>
      </c>
      <c r="AL41" s="13" t="n">
        <v>0.73</v>
      </c>
      <c r="AM41" s="16" t="n">
        <v>41</v>
      </c>
      <c r="AN41" s="14" t="n">
        <v>12.7</v>
      </c>
      <c r="AO41" s="17" t="n">
        <v>0.4886</v>
      </c>
      <c r="AP41" s="18" t="n">
        <v>11.9</v>
      </c>
      <c r="AQ41" s="14" t="n">
        <v>12.69</v>
      </c>
      <c r="AR41" s="19" t="n">
        <v>0.561290322580645</v>
      </c>
      <c r="AS41" s="19" t="n">
        <v>0.379</v>
      </c>
      <c r="AT41" s="14" t="n">
        <v>78.26</v>
      </c>
    </row>
    <row r="42" customFormat="false" ht="12.75" hidden="false" customHeight="false" outlineLevel="0" collapsed="false">
      <c r="A42" s="1" t="s">
        <v>60</v>
      </c>
      <c r="B42" s="1" t="n">
        <v>1455</v>
      </c>
      <c r="C42" s="1"/>
      <c r="D42" s="1" t="n">
        <v>4</v>
      </c>
      <c r="E42" s="1" t="n">
        <v>2656</v>
      </c>
      <c r="F42" s="1" t="n">
        <v>8</v>
      </c>
      <c r="G42" s="1" t="n">
        <v>1</v>
      </c>
      <c r="H42" s="9" t="n">
        <v>5.88</v>
      </c>
      <c r="I42" s="1" t="n">
        <v>121.9</v>
      </c>
      <c r="J42" s="1" t="n">
        <v>101.9</v>
      </c>
      <c r="K42" s="0" t="n">
        <f aca="false">I42-J42</f>
        <v>20</v>
      </c>
      <c r="L42" s="1" t="n">
        <v>0.727</v>
      </c>
      <c r="M42" s="1" t="n">
        <v>17.53</v>
      </c>
      <c r="N42" s="1" t="n">
        <v>504</v>
      </c>
      <c r="O42" s="1" t="n">
        <v>11.6</v>
      </c>
      <c r="P42" s="8" t="n">
        <v>0.781</v>
      </c>
      <c r="Q42" s="1" t="n">
        <v>1291</v>
      </c>
      <c r="R42" s="1" t="n">
        <v>593</v>
      </c>
      <c r="S42" s="0" t="n">
        <f aca="false">ROUND(E42/32, 1)</f>
        <v>83</v>
      </c>
      <c r="T42" s="1" t="n">
        <v>71.3</v>
      </c>
      <c r="U42" s="1" t="n">
        <v>562</v>
      </c>
      <c r="V42" s="9" t="n">
        <v>758</v>
      </c>
      <c r="W42" s="10" t="n">
        <v>0</v>
      </c>
      <c r="X42" s="9" t="n">
        <v>1944</v>
      </c>
      <c r="Y42" s="11" t="n">
        <v>2</v>
      </c>
      <c r="Z42" s="1" t="n">
        <v>0.478</v>
      </c>
      <c r="AA42" s="12" t="n">
        <f aca="false">+11.7</f>
        <v>11.7</v>
      </c>
      <c r="AB42" s="1" t="n">
        <v>0</v>
      </c>
      <c r="AC42" s="9" t="n">
        <v>150</v>
      </c>
      <c r="AD42" s="13"/>
      <c r="AE42" s="14" t="n">
        <v>5.55</v>
      </c>
      <c r="AF42" s="14" t="n">
        <v>0.585</v>
      </c>
      <c r="AG42" s="15" t="n">
        <v>14.77777778</v>
      </c>
      <c r="AH42" s="1" t="n">
        <v>28.7878787878787</v>
      </c>
      <c r="AI42" s="14" t="n">
        <v>116.335291648989</v>
      </c>
      <c r="AJ42" s="14" t="n">
        <v>92.1882119003099</v>
      </c>
      <c r="AK42" s="14" t="n">
        <v>56.3923150344428</v>
      </c>
      <c r="AL42" s="13" t="n">
        <v>0.738</v>
      </c>
      <c r="AM42" s="16" t="n">
        <v>16</v>
      </c>
      <c r="AN42" s="14" t="n">
        <v>20</v>
      </c>
      <c r="AO42" s="17" t="n">
        <v>0.5726</v>
      </c>
      <c r="AP42" s="18" t="n">
        <v>11.6</v>
      </c>
      <c r="AQ42" s="14" t="n">
        <v>20.07</v>
      </c>
      <c r="AR42" s="19" t="n">
        <v>0.587596899224806</v>
      </c>
      <c r="AS42" s="19" t="n">
        <v>0.385</v>
      </c>
      <c r="AT42" s="14" t="n">
        <v>87.97</v>
      </c>
    </row>
    <row r="43" customFormat="false" ht="12.75" hidden="false" customHeight="false" outlineLevel="0" collapsed="false">
      <c r="A43" s="1" t="s">
        <v>61</v>
      </c>
      <c r="B43" s="1" t="n">
        <v>1267</v>
      </c>
      <c r="C43" s="1"/>
      <c r="D43" s="1" t="n">
        <v>13</v>
      </c>
      <c r="E43" s="1" t="n">
        <v>2865</v>
      </c>
      <c r="F43" s="1" t="n">
        <v>8</v>
      </c>
      <c r="G43" s="1" t="n">
        <v>0</v>
      </c>
      <c r="H43" s="9" t="n">
        <v>-0.9</v>
      </c>
      <c r="I43" s="1" t="n">
        <v>109.3</v>
      </c>
      <c r="J43" s="1" t="n">
        <v>103.9</v>
      </c>
      <c r="K43" s="0" t="n">
        <f aca="false">I43-J43</f>
        <v>5.39999999999999</v>
      </c>
      <c r="L43" s="1" t="n">
        <v>0.537</v>
      </c>
      <c r="M43" s="1" t="n">
        <v>3.61</v>
      </c>
      <c r="N43" s="1" t="n">
        <v>540</v>
      </c>
      <c r="O43" s="1" t="n">
        <v>13.2</v>
      </c>
      <c r="P43" s="8" t="n">
        <v>0.706</v>
      </c>
      <c r="Q43" s="1" t="n">
        <v>1232</v>
      </c>
      <c r="R43" s="1" t="n">
        <v>585</v>
      </c>
      <c r="S43" s="0" t="n">
        <f aca="false">ROUND(E43/34, 1)</f>
        <v>84.3</v>
      </c>
      <c r="T43" s="1" t="n">
        <v>79.1</v>
      </c>
      <c r="U43" s="1" t="n">
        <v>562</v>
      </c>
      <c r="V43" s="9" t="n">
        <v>964</v>
      </c>
      <c r="W43" s="10" t="n">
        <v>0</v>
      </c>
      <c r="X43" s="9" t="n">
        <v>2115</v>
      </c>
      <c r="Y43" s="11" t="n">
        <v>0</v>
      </c>
      <c r="Z43" s="1" t="n">
        <v>0.469</v>
      </c>
      <c r="AA43" s="12" t="n">
        <f aca="false">+4.5</f>
        <v>4.5</v>
      </c>
      <c r="AB43" s="1" t="n">
        <v>0</v>
      </c>
      <c r="AC43" s="9" t="n">
        <v>233</v>
      </c>
      <c r="AD43" s="13"/>
      <c r="AE43" s="14" t="n">
        <v>-1.67</v>
      </c>
      <c r="AF43" s="14" t="n">
        <v>0.585</v>
      </c>
      <c r="AG43" s="15" t="n">
        <v>112</v>
      </c>
      <c r="AH43" s="1" t="n">
        <v>27.4705882352941</v>
      </c>
      <c r="AI43" s="14" t="n">
        <v>115.199107646003</v>
      </c>
      <c r="AJ43" s="14" t="n">
        <v>108.563696779636</v>
      </c>
      <c r="AK43" s="14" t="n">
        <v>59.0964231428145</v>
      </c>
      <c r="AL43" s="13" t="n">
        <v>0.767</v>
      </c>
      <c r="AM43" s="16" t="n">
        <v>47</v>
      </c>
      <c r="AN43" s="14" t="n">
        <v>5.4</v>
      </c>
      <c r="AO43" s="17" t="n">
        <v>0.4954</v>
      </c>
      <c r="AP43" s="18" t="n">
        <v>13.2</v>
      </c>
      <c r="AQ43" s="14" t="n">
        <v>5.39</v>
      </c>
      <c r="AR43" s="19" t="n">
        <v>0.701090909090909</v>
      </c>
      <c r="AS43" s="19" t="n">
        <v>0.354</v>
      </c>
      <c r="AT43" s="14" t="n">
        <v>74.3</v>
      </c>
    </row>
    <row r="44" customFormat="false" ht="12.75" hidden="false" customHeight="false" outlineLevel="0" collapsed="false">
      <c r="A44" s="1" t="s">
        <v>62</v>
      </c>
      <c r="B44" s="1" t="n">
        <v>1196</v>
      </c>
      <c r="C44" s="1"/>
      <c r="D44" s="1" t="n">
        <v>6</v>
      </c>
      <c r="E44" s="1" t="n">
        <v>2434</v>
      </c>
      <c r="F44" s="1" t="n">
        <v>5</v>
      </c>
      <c r="G44" s="1" t="n">
        <v>1</v>
      </c>
      <c r="H44" s="9" t="n">
        <v>10.2</v>
      </c>
      <c r="I44" s="1" t="n">
        <v>115.1</v>
      </c>
      <c r="J44" s="1" t="n">
        <v>96.4</v>
      </c>
      <c r="K44" s="0" t="n">
        <f aca="false">I44-J44</f>
        <v>18.7</v>
      </c>
      <c r="L44" s="1" t="n">
        <v>0.69</v>
      </c>
      <c r="M44" s="1" t="n">
        <v>16.81</v>
      </c>
      <c r="N44" s="1" t="n">
        <v>460</v>
      </c>
      <c r="O44" s="1" t="n">
        <v>9.8</v>
      </c>
      <c r="P44" s="8" t="n">
        <v>0.625</v>
      </c>
      <c r="Q44" s="1" t="n">
        <v>1124</v>
      </c>
      <c r="R44" s="1" t="n">
        <v>415</v>
      </c>
      <c r="S44" s="0" t="n">
        <f aca="false">ROUND(E44/32, 1)</f>
        <v>76.1</v>
      </c>
      <c r="T44" s="1" t="n">
        <v>69.4</v>
      </c>
      <c r="U44" s="1" t="n">
        <v>552</v>
      </c>
      <c r="V44" s="9" t="n">
        <v>778</v>
      </c>
      <c r="W44" s="10" t="n">
        <v>0</v>
      </c>
      <c r="X44" s="9" t="n">
        <v>1937</v>
      </c>
      <c r="Y44" s="11" t="n">
        <v>3</v>
      </c>
      <c r="Z44" s="1" t="n">
        <v>0</v>
      </c>
      <c r="AA44" s="12" t="n">
        <f aca="false">+6.6</f>
        <v>6.6</v>
      </c>
      <c r="AB44" s="1" t="n">
        <v>1</v>
      </c>
      <c r="AC44" s="9" t="n">
        <v>219</v>
      </c>
      <c r="AD44" s="13"/>
      <c r="AE44" s="14" t="n">
        <v>10.74</v>
      </c>
      <c r="AF44" s="14" t="n">
        <v>0.543</v>
      </c>
      <c r="AG44" s="15" t="n">
        <v>24.11111111</v>
      </c>
      <c r="AH44" s="1" t="n">
        <v>24.5454545454545</v>
      </c>
      <c r="AI44" s="14" t="n">
        <v>116.697964939839</v>
      </c>
      <c r="AJ44" s="14" t="n">
        <v>105.682173009187</v>
      </c>
      <c r="AK44" s="14" t="n">
        <v>55.2078711678626</v>
      </c>
      <c r="AL44" s="13" t="n">
        <v>0.719</v>
      </c>
      <c r="AM44" s="16" t="n">
        <v>23</v>
      </c>
      <c r="AN44" s="14" t="n">
        <v>18.7</v>
      </c>
      <c r="AO44" s="17" t="n">
        <v>0.5756</v>
      </c>
      <c r="AP44" s="18" t="n">
        <v>9.8</v>
      </c>
      <c r="AQ44" s="14" t="n">
        <v>18.71</v>
      </c>
      <c r="AR44" s="19" t="n">
        <v>0.600772200772201</v>
      </c>
      <c r="AS44" s="19" t="n">
        <v>0.375</v>
      </c>
      <c r="AT44" s="14" t="n">
        <v>86.59</v>
      </c>
    </row>
    <row r="45" customFormat="false" ht="12.75" hidden="false" customHeight="false" outlineLevel="0" collapsed="false">
      <c r="A45" s="1" t="s">
        <v>63</v>
      </c>
      <c r="B45" s="1" t="n">
        <v>1382</v>
      </c>
      <c r="C45" s="1"/>
      <c r="D45" s="1" t="n">
        <v>11</v>
      </c>
      <c r="E45" s="1" t="n">
        <v>2493</v>
      </c>
      <c r="F45" s="1" t="n">
        <v>9</v>
      </c>
      <c r="G45" s="1" t="n">
        <v>1</v>
      </c>
      <c r="H45" s="9" t="n">
        <v>2.09</v>
      </c>
      <c r="I45" s="1" t="n">
        <v>112.3</v>
      </c>
      <c r="J45" s="1" t="n">
        <v>101.1</v>
      </c>
      <c r="K45" s="0" t="n">
        <f aca="false">I45-J45</f>
        <v>11.2</v>
      </c>
      <c r="L45" s="1" t="n">
        <v>0.531</v>
      </c>
      <c r="M45" s="1" t="n">
        <v>8.99</v>
      </c>
      <c r="N45" s="1" t="n">
        <v>557</v>
      </c>
      <c r="O45" s="1" t="n">
        <v>11.5</v>
      </c>
      <c r="P45" s="1" t="n">
        <v>0.781</v>
      </c>
      <c r="Q45" s="1" t="n">
        <v>1138</v>
      </c>
      <c r="R45" s="1" t="n">
        <v>455</v>
      </c>
      <c r="S45" s="0" t="n">
        <f aca="false">ROUND(E45/32, 1)</f>
        <v>77.9</v>
      </c>
      <c r="T45" s="1" t="n">
        <v>71</v>
      </c>
      <c r="U45" s="1" t="n">
        <v>641</v>
      </c>
      <c r="V45" s="9" t="n">
        <v>623</v>
      </c>
      <c r="W45" s="10" t="n">
        <v>0</v>
      </c>
      <c r="X45" s="9" t="n">
        <v>1850</v>
      </c>
      <c r="Y45" s="11" t="n">
        <v>2</v>
      </c>
      <c r="Z45" s="1" t="n">
        <v>0.456</v>
      </c>
      <c r="AA45" s="12" t="n">
        <f aca="false">+6.9</f>
        <v>6.9</v>
      </c>
      <c r="AB45" s="1" t="n">
        <v>0</v>
      </c>
      <c r="AC45" s="9" t="n">
        <v>221</v>
      </c>
      <c r="AD45" s="13"/>
      <c r="AE45" s="14" t="n">
        <v>2.2</v>
      </c>
      <c r="AF45" s="14" t="n">
        <v>0.566</v>
      </c>
      <c r="AG45" s="15" t="n">
        <v>46.77777778</v>
      </c>
      <c r="AH45" s="1" t="n">
        <v>25.2424242424242</v>
      </c>
      <c r="AI45" s="14" t="n">
        <v>116.810944966091</v>
      </c>
      <c r="AJ45" s="14" t="n">
        <v>106.680571410525</v>
      </c>
      <c r="AK45" s="14" t="n">
        <v>57.3581198694691</v>
      </c>
      <c r="AL45" s="13" t="n">
        <v>0.754</v>
      </c>
      <c r="AM45" s="16" t="n">
        <v>33</v>
      </c>
      <c r="AN45" s="14" t="n">
        <v>11.2</v>
      </c>
      <c r="AO45" s="17" t="n">
        <v>0.5333</v>
      </c>
      <c r="AP45" s="18" t="n">
        <v>11.5</v>
      </c>
      <c r="AQ45" s="14" t="n">
        <v>11.2</v>
      </c>
      <c r="AR45" s="19" t="n">
        <v>0.479230769230769</v>
      </c>
      <c r="AS45" s="19" t="n">
        <v>0.398</v>
      </c>
      <c r="AT45" s="14" t="n">
        <v>80.72</v>
      </c>
    </row>
    <row r="46" customFormat="false" ht="12.75" hidden="false" customHeight="false" outlineLevel="0" collapsed="false">
      <c r="A46" s="1" t="s">
        <v>64</v>
      </c>
      <c r="B46" s="1" t="n">
        <v>1417</v>
      </c>
      <c r="C46" s="1"/>
      <c r="D46" s="1" t="n">
        <v>11</v>
      </c>
      <c r="E46" s="1" t="n">
        <v>2621</v>
      </c>
      <c r="F46" s="1" t="n">
        <v>6</v>
      </c>
      <c r="G46" s="1" t="n">
        <v>10</v>
      </c>
      <c r="H46" s="9" t="n">
        <v>7.27</v>
      </c>
      <c r="I46" s="1" t="n">
        <v>116.4</v>
      </c>
      <c r="J46" s="1" t="n">
        <v>102.1</v>
      </c>
      <c r="K46" s="0" t="n">
        <f aca="false">I46-J46</f>
        <v>14.3</v>
      </c>
      <c r="L46" s="1" t="n">
        <v>0.657</v>
      </c>
      <c r="M46" s="1" t="n">
        <v>12.85</v>
      </c>
      <c r="N46" s="1" t="n">
        <v>509</v>
      </c>
      <c r="O46" s="1" t="n">
        <v>11.8</v>
      </c>
      <c r="P46" s="8" t="n">
        <v>0.656</v>
      </c>
      <c r="Q46" s="1" t="n">
        <v>1242</v>
      </c>
      <c r="R46" s="1" t="n">
        <v>482</v>
      </c>
      <c r="S46" s="0" t="n">
        <f aca="false">ROUND(E46/32, 1)</f>
        <v>81.9</v>
      </c>
      <c r="T46" s="1" t="n">
        <v>76.3</v>
      </c>
      <c r="U46" s="1" t="n">
        <v>574</v>
      </c>
      <c r="V46" s="9" t="n">
        <v>783</v>
      </c>
      <c r="W46" s="10" t="n">
        <v>0</v>
      </c>
      <c r="X46" s="9" t="n">
        <v>1964</v>
      </c>
      <c r="Y46" s="11" t="n">
        <v>1.4142135623731</v>
      </c>
      <c r="Z46" s="1" t="n">
        <v>0.461</v>
      </c>
      <c r="AA46" s="12" t="n">
        <f aca="false">+5.6</f>
        <v>5.6</v>
      </c>
      <c r="AB46" s="1" t="n">
        <v>1</v>
      </c>
      <c r="AC46" s="9" t="n">
        <v>183</v>
      </c>
      <c r="AD46" s="13"/>
      <c r="AE46" s="14" t="n">
        <v>6.91</v>
      </c>
      <c r="AF46" s="14" t="n">
        <v>0.57</v>
      </c>
      <c r="AG46" s="15" t="n">
        <v>46.44444444</v>
      </c>
      <c r="AH46" s="1" t="n">
        <v>28.3636363636363</v>
      </c>
      <c r="AI46" s="14" t="n">
        <v>117.096017313176</v>
      </c>
      <c r="AJ46" s="14" t="n">
        <v>108.977838494891</v>
      </c>
      <c r="AK46" s="14" t="n">
        <v>57.5470669420856</v>
      </c>
      <c r="AL46" s="13" t="n">
        <v>0.722</v>
      </c>
      <c r="AM46" s="16" t="n">
        <v>36</v>
      </c>
      <c r="AN46" s="14" t="n">
        <v>14.3</v>
      </c>
      <c r="AO46" s="17" t="n">
        <v>0.5606</v>
      </c>
      <c r="AP46" s="18" t="n">
        <v>11.8</v>
      </c>
      <c r="AQ46" s="14" t="n">
        <v>14.38</v>
      </c>
      <c r="AR46" s="19" t="n">
        <v>0.597709923664122</v>
      </c>
      <c r="AS46" s="19" t="n">
        <v>0.383</v>
      </c>
      <c r="AT46" s="14" t="n">
        <v>83.4</v>
      </c>
    </row>
    <row r="47" customFormat="false" ht="12.75" hidden="false" customHeight="false" outlineLevel="0" collapsed="false">
      <c r="A47" s="1" t="s">
        <v>65</v>
      </c>
      <c r="B47" s="1" t="n">
        <v>1403</v>
      </c>
      <c r="C47" s="1"/>
      <c r="D47" s="1" t="n">
        <v>3</v>
      </c>
      <c r="E47" s="1" t="n">
        <v>2483</v>
      </c>
      <c r="F47" s="1" t="n">
        <v>5</v>
      </c>
      <c r="G47" s="1" t="n">
        <v>1</v>
      </c>
      <c r="H47" s="9" t="n">
        <v>9.03</v>
      </c>
      <c r="I47" s="1" t="n">
        <v>114</v>
      </c>
      <c r="J47" s="1" t="n">
        <v>92.1</v>
      </c>
      <c r="K47" s="0" t="n">
        <f aca="false">I47-J47</f>
        <v>21.9</v>
      </c>
      <c r="L47" s="1" t="n">
        <v>0.72</v>
      </c>
      <c r="M47" s="1" t="n">
        <v>19.57</v>
      </c>
      <c r="N47" s="1" t="n">
        <v>525</v>
      </c>
      <c r="O47" s="1" t="n">
        <v>12.5</v>
      </c>
      <c r="P47" s="8" t="n">
        <v>0.727</v>
      </c>
      <c r="Q47" s="1" t="n">
        <v>1182</v>
      </c>
      <c r="R47" s="1" t="n">
        <v>447</v>
      </c>
      <c r="S47" s="0" t="n">
        <f aca="false">ROUND(E47/33, 1)</f>
        <v>75.2</v>
      </c>
      <c r="T47" s="1" t="n">
        <v>64.7</v>
      </c>
      <c r="U47" s="1" t="n">
        <v>599</v>
      </c>
      <c r="V47" s="9" t="n">
        <v>634</v>
      </c>
      <c r="W47" s="10" t="n">
        <v>0</v>
      </c>
      <c r="X47" s="9" t="n">
        <v>1859</v>
      </c>
      <c r="Y47" s="11" t="n">
        <v>3.16227766016838</v>
      </c>
      <c r="Z47" s="1" t="n">
        <v>0.464</v>
      </c>
      <c r="AA47" s="12" t="n">
        <f aca="false">+10.5</f>
        <v>10.5</v>
      </c>
      <c r="AB47" s="1" t="n">
        <v>1</v>
      </c>
      <c r="AC47" s="9" t="n">
        <v>245</v>
      </c>
      <c r="AD47" s="13"/>
      <c r="AE47" s="14" t="n">
        <v>9.26</v>
      </c>
      <c r="AF47" s="14" t="n">
        <v>0.561</v>
      </c>
      <c r="AG47" s="15" t="n">
        <v>13.22222222</v>
      </c>
      <c r="AH47" s="1" t="n">
        <v>25.0294117647058</v>
      </c>
      <c r="AI47" s="14" t="n">
        <v>114.885990963882</v>
      </c>
      <c r="AJ47" s="14" t="n">
        <v>98.4703843775027</v>
      </c>
      <c r="AK47" s="14" t="n">
        <v>56.8981190612862</v>
      </c>
      <c r="AL47" s="13" t="n">
        <v>0.701</v>
      </c>
      <c r="AM47" s="16" t="n">
        <v>14</v>
      </c>
      <c r="AN47" s="14" t="n">
        <v>21.9</v>
      </c>
      <c r="AO47" s="17" t="n">
        <v>0.5589</v>
      </c>
      <c r="AP47" s="18" t="n">
        <v>12.5</v>
      </c>
      <c r="AQ47" s="14" t="n">
        <v>21.94</v>
      </c>
      <c r="AR47" s="19" t="n">
        <v>0.476691729323308</v>
      </c>
      <c r="AS47" s="19" t="n">
        <v>0.366</v>
      </c>
      <c r="AT47" s="14" t="n">
        <v>88.51</v>
      </c>
    </row>
    <row r="48" customFormat="false" ht="12.75" hidden="false" customHeight="false" outlineLevel="0" collapsed="false">
      <c r="A48" s="1" t="s">
        <v>66</v>
      </c>
      <c r="B48" s="1" t="n">
        <v>1372</v>
      </c>
      <c r="C48" s="1"/>
      <c r="D48" s="1" t="n">
        <v>14</v>
      </c>
      <c r="E48" s="1" t="n">
        <v>2759</v>
      </c>
      <c r="F48" s="1" t="n">
        <v>9</v>
      </c>
      <c r="G48" s="1" t="n">
        <v>0</v>
      </c>
      <c r="H48" s="9" t="n">
        <v>-7</v>
      </c>
      <c r="I48" s="1" t="n">
        <v>105</v>
      </c>
      <c r="J48" s="1" t="n">
        <v>99.4</v>
      </c>
      <c r="K48" s="0" t="n">
        <f aca="false">I48-J48</f>
        <v>5.59999999999999</v>
      </c>
      <c r="L48" s="1" t="n">
        <v>0.687</v>
      </c>
      <c r="M48" s="1" t="n">
        <v>2.76</v>
      </c>
      <c r="N48" s="1" t="n">
        <v>558</v>
      </c>
      <c r="O48" s="1" t="n">
        <v>15.6</v>
      </c>
      <c r="P48" s="8" t="n">
        <v>0.824</v>
      </c>
      <c r="Q48" s="1" t="n">
        <v>1217</v>
      </c>
      <c r="R48" s="1" t="n">
        <v>490</v>
      </c>
      <c r="S48" s="0" t="n">
        <f aca="false">ROUND(E48/34, 1)</f>
        <v>81.1</v>
      </c>
      <c r="T48" s="1" t="n">
        <v>68.4</v>
      </c>
      <c r="U48" s="8" t="n">
        <v>740</v>
      </c>
      <c r="V48" s="9" t="n">
        <v>637</v>
      </c>
      <c r="W48" s="10" t="n">
        <v>0</v>
      </c>
      <c r="X48" s="9" t="n">
        <v>2012</v>
      </c>
      <c r="Y48" s="11" t="n">
        <v>1</v>
      </c>
      <c r="Z48" s="1" t="n">
        <v>0.488</v>
      </c>
      <c r="AA48" s="12" t="n">
        <f aca="false">+9.8</f>
        <v>9.8</v>
      </c>
      <c r="AB48" s="1" t="n">
        <v>0</v>
      </c>
      <c r="AC48" s="9" t="n">
        <v>347</v>
      </c>
      <c r="AD48" s="13"/>
      <c r="AE48" s="14" t="n">
        <v>-7.58</v>
      </c>
      <c r="AF48" s="14" t="n">
        <v>0.578</v>
      </c>
      <c r="AG48" s="15" t="n">
        <v>118.3333333</v>
      </c>
      <c r="AH48" s="1" t="n">
        <v>23.9032258064516</v>
      </c>
      <c r="AI48" s="14" t="n">
        <v>112.715081953623</v>
      </c>
      <c r="AJ48" s="14" t="n">
        <v>98.5922026730811</v>
      </c>
      <c r="AK48" s="14" t="n">
        <v>57.2041015802068</v>
      </c>
      <c r="AL48" s="13" t="n">
        <v>0.705</v>
      </c>
      <c r="AM48" s="16" t="n">
        <v>47</v>
      </c>
      <c r="AN48" s="14" t="n">
        <v>5.6</v>
      </c>
      <c r="AO48" s="17" t="n">
        <v>0.4351</v>
      </c>
      <c r="AP48" s="18" t="n">
        <v>15.6</v>
      </c>
      <c r="AQ48" s="14" t="n">
        <v>5.62</v>
      </c>
      <c r="AR48" s="19" t="n">
        <v>0.468382352941177</v>
      </c>
      <c r="AS48" s="19" t="n">
        <v>0.372</v>
      </c>
      <c r="AT48" s="14" t="n">
        <v>74.91</v>
      </c>
    </row>
    <row r="49" customFormat="false" ht="12.75" hidden="false" customHeight="false" outlineLevel="0" collapsed="false">
      <c r="A49" s="1" t="s">
        <v>67</v>
      </c>
      <c r="B49" s="1" t="n">
        <v>1116</v>
      </c>
      <c r="C49" s="1"/>
      <c r="D49" s="1" t="n">
        <v>7</v>
      </c>
      <c r="E49" s="1" t="n">
        <v>2757</v>
      </c>
      <c r="F49" s="1" t="n">
        <v>7</v>
      </c>
      <c r="G49" s="1" t="n">
        <v>8</v>
      </c>
      <c r="H49" s="9" t="n">
        <v>10.14</v>
      </c>
      <c r="I49" s="1" t="n">
        <v>117.3</v>
      </c>
      <c r="J49" s="1" t="n">
        <v>101.7</v>
      </c>
      <c r="K49" s="0" t="n">
        <f aca="false">I49-J49</f>
        <v>15.6</v>
      </c>
      <c r="L49" s="1" t="n">
        <v>0.657</v>
      </c>
      <c r="M49" s="1" t="n">
        <v>15.69</v>
      </c>
      <c r="N49" s="1" t="n">
        <v>522</v>
      </c>
      <c r="O49" s="1" t="n">
        <v>11</v>
      </c>
      <c r="P49" s="8" t="n">
        <v>0.676</v>
      </c>
      <c r="Q49" s="1" t="n">
        <v>1183</v>
      </c>
      <c r="R49" s="1" t="n">
        <v>492</v>
      </c>
      <c r="S49" s="0" t="n">
        <f aca="false">ROUND(E49/34, 1)</f>
        <v>81.1</v>
      </c>
      <c r="T49" s="1" t="n">
        <v>75.5</v>
      </c>
      <c r="U49" s="8" t="n">
        <v>686</v>
      </c>
      <c r="V49" s="9" t="n">
        <v>663</v>
      </c>
      <c r="W49" s="10" t="n">
        <v>0</v>
      </c>
      <c r="X49" s="9" t="n">
        <v>2063</v>
      </c>
      <c r="Y49" s="11" t="n">
        <v>2.64575131106459</v>
      </c>
      <c r="Z49" s="1" t="n">
        <v>0.477</v>
      </c>
      <c r="AA49" s="12" t="n">
        <f aca="false">+5.6</f>
        <v>5.6</v>
      </c>
      <c r="AB49" s="1" t="n">
        <v>1</v>
      </c>
      <c r="AC49" s="9" t="n">
        <v>212</v>
      </c>
      <c r="AD49" s="13"/>
      <c r="AE49" s="14" t="n">
        <v>10.15</v>
      </c>
      <c r="AF49" s="14" t="n">
        <v>0.568</v>
      </c>
      <c r="AG49" s="15" t="n">
        <v>29.44444444</v>
      </c>
      <c r="AH49" s="1" t="n">
        <v>24.6857142857142</v>
      </c>
      <c r="AI49" s="14" t="n">
        <v>118.626439898721</v>
      </c>
      <c r="AJ49" s="14" t="n">
        <v>109.896994657817</v>
      </c>
      <c r="AK49" s="14" t="n">
        <v>57.4930434502973</v>
      </c>
      <c r="AL49" s="13" t="n">
        <v>0.678</v>
      </c>
      <c r="AM49" s="16" t="n">
        <v>26</v>
      </c>
      <c r="AN49" s="14" t="n">
        <v>15.6</v>
      </c>
      <c r="AO49" s="17" t="n">
        <v>0.5712</v>
      </c>
      <c r="AP49" s="18" t="n">
        <v>11</v>
      </c>
      <c r="AQ49" s="14" t="n">
        <v>15.63</v>
      </c>
      <c r="AR49" s="19" t="n">
        <v>0.482181818181818</v>
      </c>
      <c r="AS49" s="19" t="n">
        <v>0.4</v>
      </c>
      <c r="AT49" s="14" t="n">
        <v>84.63</v>
      </c>
    </row>
    <row r="50" customFormat="false" ht="12.75" hidden="false" customHeight="false" outlineLevel="0" collapsed="false">
      <c r="A50" s="1" t="s">
        <v>68</v>
      </c>
      <c r="B50" s="1" t="n">
        <v>1139</v>
      </c>
      <c r="C50" s="1"/>
      <c r="D50" s="1" t="n">
        <v>10</v>
      </c>
      <c r="E50" s="1" t="n">
        <v>2611</v>
      </c>
      <c r="F50" s="1" t="n">
        <v>4</v>
      </c>
      <c r="G50" s="1" t="n">
        <v>0</v>
      </c>
      <c r="H50" s="9" t="n">
        <v>10.12</v>
      </c>
      <c r="I50" s="1" t="n">
        <v>115.8</v>
      </c>
      <c r="J50" s="1" t="n">
        <v>97.9</v>
      </c>
      <c r="K50" s="0" t="n">
        <f aca="false">I50-J50</f>
        <v>17.9</v>
      </c>
      <c r="L50" s="1" t="n">
        <v>0.546</v>
      </c>
      <c r="M50" s="1" t="n">
        <v>16.44</v>
      </c>
      <c r="N50" s="1" t="n">
        <v>413</v>
      </c>
      <c r="O50" s="1" t="n">
        <v>11.2</v>
      </c>
      <c r="P50" s="8" t="n">
        <v>0.606</v>
      </c>
      <c r="Q50" s="1" t="n">
        <v>1125</v>
      </c>
      <c r="R50" s="1" t="n">
        <v>462</v>
      </c>
      <c r="S50" s="0" t="n">
        <f aca="false">ROUND(E50/33, 1)</f>
        <v>79.1</v>
      </c>
      <c r="T50" s="9" t="n">
        <v>72.8</v>
      </c>
      <c r="U50" s="8" t="n">
        <v>602</v>
      </c>
      <c r="V50" s="9" t="n">
        <v>759</v>
      </c>
      <c r="W50" s="10" t="n">
        <v>0</v>
      </c>
      <c r="X50" s="9" t="n">
        <v>2041</v>
      </c>
      <c r="Y50" s="11" t="n">
        <v>2.44948974278318</v>
      </c>
      <c r="Z50" s="1" t="n">
        <v>0.472</v>
      </c>
      <c r="AA50" s="12" t="n">
        <f aca="false">+6.3</f>
        <v>6.3</v>
      </c>
      <c r="AB50" s="1" t="n">
        <v>1</v>
      </c>
      <c r="AC50" s="9" t="n">
        <v>222</v>
      </c>
      <c r="AD50" s="13"/>
      <c r="AE50" s="14" t="n">
        <v>10.58</v>
      </c>
      <c r="AF50" s="14" t="n">
        <v>0.569</v>
      </c>
      <c r="AG50" s="15" t="n">
        <v>36</v>
      </c>
      <c r="AH50" s="1" t="n">
        <v>24.8823529411764</v>
      </c>
      <c r="AI50" s="14" t="n">
        <v>116.524105526689</v>
      </c>
      <c r="AJ50" s="14" t="n">
        <v>106.743897394459</v>
      </c>
      <c r="AK50" s="14" t="n">
        <v>57.5663050933633</v>
      </c>
      <c r="AL50" s="13" t="n">
        <v>0.771</v>
      </c>
      <c r="AM50" s="16" t="n">
        <v>32</v>
      </c>
      <c r="AN50" s="14" t="n">
        <v>17.9</v>
      </c>
      <c r="AO50" s="17" t="n">
        <v>0.581</v>
      </c>
      <c r="AP50" s="18" t="n">
        <v>11.2</v>
      </c>
      <c r="AQ50" s="14" t="n">
        <v>17.86</v>
      </c>
      <c r="AR50" s="19" t="n">
        <v>0.562222222222222</v>
      </c>
      <c r="AS50" s="19" t="n">
        <v>0.356</v>
      </c>
      <c r="AT50" s="14" t="n">
        <v>85.36</v>
      </c>
    </row>
    <row r="51" customFormat="false" ht="12.75" hidden="false" customHeight="false" outlineLevel="0" collapsed="false">
      <c r="A51" s="1" t="s">
        <v>69</v>
      </c>
      <c r="B51" s="1" t="n">
        <v>1345</v>
      </c>
      <c r="C51" s="1"/>
      <c r="D51" s="1" t="n">
        <v>2</v>
      </c>
      <c r="E51" s="1" t="n">
        <v>2759</v>
      </c>
      <c r="F51" s="1" t="n">
        <v>6</v>
      </c>
      <c r="G51" s="1" t="n">
        <v>10</v>
      </c>
      <c r="H51" s="9" t="n">
        <v>8.66</v>
      </c>
      <c r="I51" s="1" t="n">
        <v>123.2</v>
      </c>
      <c r="J51" s="1" t="n">
        <v>96.6</v>
      </c>
      <c r="K51" s="0" t="n">
        <f aca="false">I51-J51</f>
        <v>26.6</v>
      </c>
      <c r="L51" s="1" t="n">
        <v>0.675</v>
      </c>
      <c r="M51" s="1" t="n">
        <v>24.14</v>
      </c>
      <c r="N51" s="1" t="n">
        <v>517</v>
      </c>
      <c r="O51" s="1" t="n">
        <v>10.7</v>
      </c>
      <c r="P51" s="8" t="n">
        <v>0.824</v>
      </c>
      <c r="Q51" s="1" t="n">
        <v>1191</v>
      </c>
      <c r="R51" s="1" t="n">
        <v>568</v>
      </c>
      <c r="S51" s="0" t="n">
        <f aca="false">ROUND(E51/34, 1)</f>
        <v>81.1</v>
      </c>
      <c r="T51" s="9" t="n">
        <v>65.6</v>
      </c>
      <c r="U51" s="8" t="n">
        <v>528</v>
      </c>
      <c r="V51" s="9" t="n">
        <v>776</v>
      </c>
      <c r="W51" s="10" t="n">
        <v>0</v>
      </c>
      <c r="X51" s="9" t="n">
        <v>1928</v>
      </c>
      <c r="Y51" s="11" t="n">
        <v>2.23606797749979</v>
      </c>
      <c r="Z51" s="1" t="n">
        <v>0.497</v>
      </c>
      <c r="AA51" s="12" t="n">
        <f aca="false">+15.5</f>
        <v>15.5</v>
      </c>
      <c r="AB51" s="1" t="n">
        <v>1</v>
      </c>
      <c r="AC51" s="9" t="n">
        <v>198</v>
      </c>
      <c r="AD51" s="13"/>
      <c r="AE51" s="14" t="n">
        <v>8.55</v>
      </c>
      <c r="AF51" s="14" t="n">
        <v>0.611</v>
      </c>
      <c r="AG51" s="15" t="n">
        <v>5.888888889</v>
      </c>
      <c r="AH51" s="1" t="n">
        <v>26.6</v>
      </c>
      <c r="AI51" s="14" t="n">
        <v>125.157893735705</v>
      </c>
      <c r="AJ51" s="14" t="n">
        <v>101.631698135525</v>
      </c>
      <c r="AK51" s="14" t="n">
        <v>61.9916143520668</v>
      </c>
      <c r="AL51" s="13" t="n">
        <v>0.743</v>
      </c>
      <c r="AM51" s="16" t="n">
        <v>11</v>
      </c>
      <c r="AN51" s="14" t="n">
        <v>26.6</v>
      </c>
      <c r="AO51" s="17" t="n">
        <v>0.5652</v>
      </c>
      <c r="AP51" s="18" t="n">
        <v>10.7</v>
      </c>
      <c r="AQ51" s="14" t="n">
        <v>26.66</v>
      </c>
      <c r="AR51" s="19" t="n">
        <v>0.568498168498168</v>
      </c>
      <c r="AS51" s="19" t="n">
        <v>0.42</v>
      </c>
      <c r="AT51" s="14" t="n">
        <v>92.59</v>
      </c>
    </row>
    <row r="52" customFormat="false" ht="12.75" hidden="false" customHeight="false" outlineLevel="0" collapsed="false">
      <c r="A52" s="1" t="s">
        <v>70</v>
      </c>
      <c r="B52" s="1" t="n">
        <v>1168</v>
      </c>
      <c r="C52" s="1"/>
      <c r="D52" s="1" t="n">
        <v>15</v>
      </c>
      <c r="E52" s="1" t="n">
        <v>2270</v>
      </c>
      <c r="F52" s="1" t="n">
        <v>8</v>
      </c>
      <c r="G52" s="1" t="n">
        <v>0</v>
      </c>
      <c r="H52" s="9" t="n">
        <v>-1.52</v>
      </c>
      <c r="I52" s="1" t="n">
        <v>105</v>
      </c>
      <c r="J52" s="1" t="n">
        <v>103.7</v>
      </c>
      <c r="K52" s="0" t="n">
        <f aca="false">I52-J52</f>
        <v>1.3</v>
      </c>
      <c r="L52" s="1" t="n">
        <v>0.432</v>
      </c>
      <c r="M52" s="1" t="n">
        <v>-0.53</v>
      </c>
      <c r="N52" s="1" t="n">
        <v>535</v>
      </c>
      <c r="O52" s="1" t="n">
        <v>14.1</v>
      </c>
      <c r="P52" s="8" t="n">
        <v>0.645</v>
      </c>
      <c r="Q52" s="1" t="n">
        <v>1089</v>
      </c>
      <c r="R52" s="1" t="n">
        <v>396</v>
      </c>
      <c r="S52" s="0" t="n">
        <f aca="false">ROUND(E52/31, 1)</f>
        <v>73.2</v>
      </c>
      <c r="T52" s="9" t="n">
        <v>71.7</v>
      </c>
      <c r="U52" s="8" t="n">
        <v>553</v>
      </c>
      <c r="V52" s="9" t="n">
        <v>482</v>
      </c>
      <c r="W52" s="10" t="n">
        <v>0</v>
      </c>
      <c r="X52" s="9" t="n">
        <v>1671</v>
      </c>
      <c r="Y52" s="11" t="n">
        <v>0</v>
      </c>
      <c r="Z52" s="1" t="n">
        <v>0.47</v>
      </c>
      <c r="AA52" s="12" t="n">
        <f aca="false">+1</f>
        <v>1</v>
      </c>
      <c r="AB52" s="1" t="n">
        <v>0</v>
      </c>
      <c r="AC52" s="9" t="n">
        <v>198</v>
      </c>
      <c r="AD52" s="13"/>
      <c r="AE52" s="14" t="n">
        <v>-1.28</v>
      </c>
      <c r="AF52" s="14" t="n">
        <v>0.563</v>
      </c>
      <c r="AG52" s="15" t="n">
        <v>160.8888889</v>
      </c>
      <c r="AH52" s="1" t="n">
        <v>25.6666666666666</v>
      </c>
      <c r="AI52" s="14" t="n">
        <v>106.708797207803</v>
      </c>
      <c r="AJ52" s="14" t="n">
        <v>107.090307309434</v>
      </c>
      <c r="AK52" s="14" t="n">
        <v>56.686016500147</v>
      </c>
      <c r="AL52" s="13" t="n">
        <v>0.734</v>
      </c>
      <c r="AM52" s="16" t="n">
        <v>47</v>
      </c>
      <c r="AN52" s="14" t="n">
        <v>1.3</v>
      </c>
      <c r="AO52" s="17" t="n">
        <v>0.4804</v>
      </c>
      <c r="AP52" s="17" t="n">
        <v>14.1</v>
      </c>
      <c r="AQ52" s="14" t="n">
        <v>1.32</v>
      </c>
      <c r="AR52" s="19" t="n">
        <v>0.3856</v>
      </c>
      <c r="AS52" s="19" t="n">
        <v>0.338</v>
      </c>
      <c r="AT52" s="14" t="n">
        <v>70.74</v>
      </c>
    </row>
    <row r="53" customFormat="false" ht="12.75" hidden="false" customHeight="false" outlineLevel="0" collapsed="false">
      <c r="A53" s="1" t="s">
        <v>71</v>
      </c>
      <c r="B53" s="1" t="n">
        <v>1242</v>
      </c>
      <c r="C53" s="1"/>
      <c r="D53" s="1" t="n">
        <v>1</v>
      </c>
      <c r="E53" s="1" t="n">
        <v>2771</v>
      </c>
      <c r="F53" s="1" t="n">
        <v>8</v>
      </c>
      <c r="G53" s="1" t="n">
        <v>19</v>
      </c>
      <c r="H53" s="9" t="n">
        <v>11.45</v>
      </c>
      <c r="I53" s="1" t="n">
        <v>120.9</v>
      </c>
      <c r="J53" s="1" t="n">
        <v>97.7</v>
      </c>
      <c r="K53" s="0" t="n">
        <f aca="false">I53-J53</f>
        <v>23.2</v>
      </c>
      <c r="L53" s="1" t="n">
        <v>0.765</v>
      </c>
      <c r="M53" s="1" t="n">
        <v>22.01</v>
      </c>
      <c r="N53" s="1" t="n">
        <v>378</v>
      </c>
      <c r="O53" s="1" t="n">
        <v>11.7</v>
      </c>
      <c r="P53" s="8" t="n">
        <v>0.794</v>
      </c>
      <c r="Q53" s="1" t="n">
        <v>1197</v>
      </c>
      <c r="R53" s="1" t="n">
        <v>578</v>
      </c>
      <c r="S53" s="0" t="n">
        <f aca="false">ROUND(E53/34, 1)</f>
        <v>81.5</v>
      </c>
      <c r="T53" s="9" t="n">
        <v>70.9</v>
      </c>
      <c r="U53" s="8" t="n">
        <v>519</v>
      </c>
      <c r="V53" s="9" t="n">
        <v>857</v>
      </c>
      <c r="W53" s="10" t="n">
        <v>1.4142135623731</v>
      </c>
      <c r="X53" s="9" t="n">
        <v>2058</v>
      </c>
      <c r="Y53" s="11" t="n">
        <v>4.12310562561766</v>
      </c>
      <c r="Z53" s="1" t="n">
        <v>0.472</v>
      </c>
      <c r="AA53" s="12" t="n">
        <f aca="false">+10.6</f>
        <v>10.6</v>
      </c>
      <c r="AB53" s="1" t="n">
        <v>1</v>
      </c>
      <c r="AC53" s="9" t="n">
        <v>225</v>
      </c>
      <c r="AD53" s="13"/>
      <c r="AE53" s="14" t="n">
        <v>11.49</v>
      </c>
      <c r="AF53" s="14" t="n">
        <v>0.599</v>
      </c>
      <c r="AG53" s="15" t="n">
        <v>9</v>
      </c>
      <c r="AH53" s="1" t="n">
        <v>25.9142857142857</v>
      </c>
      <c r="AI53" s="14" t="n">
        <v>122.006852328368</v>
      </c>
      <c r="AJ53" s="14" t="n">
        <v>105.705658884734</v>
      </c>
      <c r="AK53" s="14" t="n">
        <v>60.7022330990088</v>
      </c>
      <c r="AL53" s="1" t="n">
        <v>0.701</v>
      </c>
      <c r="AM53" s="16" t="n">
        <v>4</v>
      </c>
      <c r="AN53" s="14" t="n">
        <v>23.2</v>
      </c>
      <c r="AO53" s="17" t="n">
        <v>0.6041</v>
      </c>
      <c r="AP53" s="18" t="n">
        <v>11.7</v>
      </c>
      <c r="AQ53" s="14" t="n">
        <v>23.23</v>
      </c>
      <c r="AR53" s="19" t="n">
        <v>0.630147058823529</v>
      </c>
      <c r="AS53" s="19" t="n">
        <v>0.403</v>
      </c>
      <c r="AT53" s="14" t="n">
        <v>91.54</v>
      </c>
    </row>
    <row r="54" customFormat="false" ht="12.75" hidden="false" customHeight="false" outlineLevel="0" collapsed="false">
      <c r="A54" s="1" t="s">
        <v>72</v>
      </c>
      <c r="B54" s="1" t="n">
        <v>1335</v>
      </c>
      <c r="C54" s="1"/>
      <c r="D54" s="1" t="n">
        <v>16</v>
      </c>
      <c r="E54" s="1" t="n">
        <v>2446</v>
      </c>
      <c r="F54" s="1" t="n">
        <v>8</v>
      </c>
      <c r="G54" s="1" t="n">
        <v>3</v>
      </c>
      <c r="H54" s="9" t="n">
        <v>-3.95</v>
      </c>
      <c r="I54" s="1" t="n">
        <v>103.6</v>
      </c>
      <c r="J54" s="1" t="n">
        <v>99.9</v>
      </c>
      <c r="K54" s="0" t="n">
        <f aca="false">I54-J54</f>
        <v>3.69999999999999</v>
      </c>
      <c r="L54" s="1" t="n">
        <v>0.494</v>
      </c>
      <c r="M54" s="1" t="n">
        <v>2.25</v>
      </c>
      <c r="N54" s="1" t="n">
        <v>424</v>
      </c>
      <c r="O54" s="1" t="n">
        <v>11.9</v>
      </c>
      <c r="P54" s="8" t="n">
        <v>0.75</v>
      </c>
      <c r="Q54" s="1" t="n">
        <v>1207</v>
      </c>
      <c r="R54" s="1" t="n">
        <v>492</v>
      </c>
      <c r="S54" s="0" t="n">
        <f aca="false">ROUND(E54/32, 1)</f>
        <v>76.4</v>
      </c>
      <c r="T54" s="9" t="n">
        <v>69.8</v>
      </c>
      <c r="U54" s="8" t="n">
        <v>553</v>
      </c>
      <c r="V54" s="9" t="n">
        <v>784</v>
      </c>
      <c r="W54" s="10" t="n">
        <v>0</v>
      </c>
      <c r="X54" s="9" t="n">
        <v>1841</v>
      </c>
      <c r="Y54" s="11" t="n">
        <v>0</v>
      </c>
      <c r="Z54" s="1" t="n">
        <v>0.46</v>
      </c>
      <c r="AA54" s="12" t="n">
        <f aca="false">+6.1</f>
        <v>6.1</v>
      </c>
      <c r="AB54" s="1" t="n">
        <v>0</v>
      </c>
      <c r="AC54" s="9" t="n">
        <v>187</v>
      </c>
      <c r="AD54" s="13"/>
      <c r="AE54" s="14" t="n">
        <v>-4.63</v>
      </c>
      <c r="AF54" s="14" t="n">
        <v>0.55</v>
      </c>
      <c r="AG54" s="15" t="n">
        <v>119.3333333</v>
      </c>
      <c r="AH54" s="1" t="n">
        <v>28.40625</v>
      </c>
      <c r="AI54" s="14" t="n">
        <v>110.464596949837</v>
      </c>
      <c r="AJ54" s="14" t="n">
        <v>102.055028345928</v>
      </c>
      <c r="AK54" s="14" t="n">
        <v>55.922641344455</v>
      </c>
      <c r="AL54" s="13" t="n">
        <v>0.666</v>
      </c>
      <c r="AM54" s="16" t="n">
        <v>47</v>
      </c>
      <c r="AN54" s="14" t="n">
        <v>3.7</v>
      </c>
      <c r="AO54" s="17" t="n">
        <v>0.4547</v>
      </c>
      <c r="AP54" s="18" t="n">
        <v>11.9</v>
      </c>
      <c r="AQ54" s="14" t="n">
        <v>3.7</v>
      </c>
      <c r="AR54" s="19" t="n">
        <v>0.609885931558935</v>
      </c>
      <c r="AS54" s="19" t="n">
        <v>0.349</v>
      </c>
      <c r="AT54" s="14" t="n">
        <v>74.89</v>
      </c>
    </row>
    <row r="55" customFormat="false" ht="12.75" hidden="false" customHeight="false" outlineLevel="0" collapsed="false">
      <c r="A55" s="1" t="s">
        <v>73</v>
      </c>
      <c r="B55" s="1" t="n">
        <v>1371</v>
      </c>
      <c r="C55" s="1"/>
      <c r="D55" s="1" t="n">
        <v>8</v>
      </c>
      <c r="E55" s="1" t="n">
        <v>2528</v>
      </c>
      <c r="F55" s="1" t="n">
        <v>4</v>
      </c>
      <c r="G55" s="1" t="n">
        <v>2</v>
      </c>
      <c r="H55" s="9" t="n">
        <v>9.82</v>
      </c>
      <c r="I55" s="1" t="n">
        <v>116.3</v>
      </c>
      <c r="J55" s="1" t="n">
        <v>99</v>
      </c>
      <c r="K55" s="0" t="n">
        <f aca="false">I55-J55</f>
        <v>17.3</v>
      </c>
      <c r="L55" s="1" t="n">
        <v>0.545</v>
      </c>
      <c r="M55" s="1" t="n">
        <v>15.49</v>
      </c>
      <c r="N55" s="1" t="n">
        <v>467</v>
      </c>
      <c r="O55" s="1" t="n">
        <v>12.8</v>
      </c>
      <c r="P55" s="8" t="n">
        <v>0.656</v>
      </c>
      <c r="Q55" s="1" t="n">
        <v>1223</v>
      </c>
      <c r="R55" s="1" t="n">
        <v>506</v>
      </c>
      <c r="S55" s="0" t="n">
        <f aca="false">ROUND(E55/32, 1)</f>
        <v>79</v>
      </c>
      <c r="T55" s="9" t="n">
        <v>73.3</v>
      </c>
      <c r="U55" s="8" t="n">
        <v>567</v>
      </c>
      <c r="V55" s="9" t="n">
        <v>640</v>
      </c>
      <c r="W55" s="10" t="n">
        <v>0</v>
      </c>
      <c r="X55" s="9" t="n">
        <v>1950</v>
      </c>
      <c r="Y55" s="11" t="n">
        <v>2.44948974278318</v>
      </c>
      <c r="Z55" s="1" t="n">
        <v>0.468</v>
      </c>
      <c r="AA55" s="12" t="n">
        <f aca="false">+5.7</f>
        <v>5.7</v>
      </c>
      <c r="AB55" s="1" t="n">
        <v>1</v>
      </c>
      <c r="AC55" s="9" t="n">
        <v>201</v>
      </c>
      <c r="AD55" s="13"/>
      <c r="AE55" s="14" t="n">
        <v>9.58</v>
      </c>
      <c r="AF55" s="14" t="n">
        <v>0.557</v>
      </c>
      <c r="AG55" s="15" t="n">
        <v>25.55555556</v>
      </c>
      <c r="AH55" s="1" t="n">
        <v>26</v>
      </c>
      <c r="AI55" s="14" t="n">
        <v>116.725369967238</v>
      </c>
      <c r="AJ55" s="14" t="n">
        <v>107.592394666774</v>
      </c>
      <c r="AK55" s="14" t="n">
        <v>56.4031998695774</v>
      </c>
      <c r="AL55" s="13" t="n">
        <v>0.693</v>
      </c>
      <c r="AM55" s="16" t="n">
        <v>36</v>
      </c>
      <c r="AN55" s="14" t="n">
        <v>17.3</v>
      </c>
      <c r="AO55" s="17" t="n">
        <v>0.5763</v>
      </c>
      <c r="AP55" s="18" t="n">
        <v>12.8</v>
      </c>
      <c r="AQ55" s="14" t="n">
        <v>17.33</v>
      </c>
      <c r="AR55" s="19" t="n">
        <v>0.496124031007752</v>
      </c>
      <c r="AS55" s="19" t="n">
        <v>0.364</v>
      </c>
      <c r="AT55" s="14" t="n">
        <v>85.34</v>
      </c>
    </row>
    <row r="56" customFormat="false" ht="12.75" hidden="false" customHeight="false" outlineLevel="0" collapsed="false">
      <c r="A56" s="1" t="s">
        <v>74</v>
      </c>
      <c r="B56" s="1" t="n">
        <v>1301</v>
      </c>
      <c r="C56" s="1"/>
      <c r="D56" s="1" t="n">
        <v>9</v>
      </c>
      <c r="E56" s="1" t="n">
        <v>2599</v>
      </c>
      <c r="F56" s="1" t="n">
        <v>6</v>
      </c>
      <c r="G56" s="1" t="n">
        <v>2</v>
      </c>
      <c r="H56" s="9" t="n">
        <v>6.76</v>
      </c>
      <c r="I56" s="1" t="n">
        <v>116.4</v>
      </c>
      <c r="J56" s="1" t="n">
        <v>101.3</v>
      </c>
      <c r="K56" s="0" t="n">
        <f aca="false">I56-J56</f>
        <v>15.1</v>
      </c>
      <c r="L56" s="1" t="n">
        <v>0.705</v>
      </c>
      <c r="M56" s="1" t="n">
        <v>21.29</v>
      </c>
      <c r="N56" s="1" t="n">
        <v>473</v>
      </c>
      <c r="O56" s="1" t="n">
        <v>12.2</v>
      </c>
      <c r="P56" s="8" t="n">
        <v>0.656</v>
      </c>
      <c r="Q56" s="1" t="n">
        <v>1142</v>
      </c>
      <c r="R56" s="1" t="n">
        <v>517</v>
      </c>
      <c r="S56" s="0" t="n">
        <f aca="false">ROUND(E56/32, 1)</f>
        <v>81.2</v>
      </c>
      <c r="T56" s="9" t="n">
        <v>74.5</v>
      </c>
      <c r="U56" s="8" t="n">
        <v>579</v>
      </c>
      <c r="V56" s="9" t="n">
        <v>677</v>
      </c>
      <c r="W56" s="10" t="n">
        <v>0</v>
      </c>
      <c r="X56" s="9" t="n">
        <v>1993</v>
      </c>
      <c r="Y56" s="11" t="n">
        <v>2.44948974278318</v>
      </c>
      <c r="Z56" s="1" t="n">
        <v>0.47</v>
      </c>
      <c r="AA56" s="12" t="n">
        <f aca="false">+6.8</f>
        <v>6.8</v>
      </c>
      <c r="AB56" s="1" t="n">
        <v>1</v>
      </c>
      <c r="AC56" s="9" t="n">
        <v>240</v>
      </c>
      <c r="AD56" s="13"/>
      <c r="AE56" s="14" t="n">
        <v>7.64</v>
      </c>
      <c r="AF56" s="14" t="n">
        <v>0.583</v>
      </c>
      <c r="AG56" s="15" t="n">
        <v>39.66666667</v>
      </c>
      <c r="AH56" s="1" t="n">
        <v>23.5757575757575</v>
      </c>
      <c r="AI56" s="14" t="n">
        <v>118.169552867553</v>
      </c>
      <c r="AJ56" s="14" t="n">
        <v>107.855887700955</v>
      </c>
      <c r="AK56" s="14" t="n">
        <v>56.8294238416779</v>
      </c>
      <c r="AL56" s="13" t="n">
        <v>0.701</v>
      </c>
      <c r="AM56" s="16" t="n">
        <v>47</v>
      </c>
      <c r="AN56" s="14" t="n">
        <v>15.1</v>
      </c>
      <c r="AO56" s="17" t="n">
        <v>0.5493</v>
      </c>
      <c r="AP56" s="18" t="n">
        <v>12.2</v>
      </c>
      <c r="AQ56" s="14" t="n">
        <v>15.13</v>
      </c>
      <c r="AR56" s="19" t="n">
        <v>0.526848249027237</v>
      </c>
      <c r="AS56" s="19" t="n">
        <v>0.372</v>
      </c>
      <c r="AT56" s="14" t="n">
        <v>82.59</v>
      </c>
    </row>
    <row r="57" customFormat="false" ht="12.75" hidden="false" customHeight="false" outlineLevel="0" collapsed="false">
      <c r="A57" s="1" t="s">
        <v>75</v>
      </c>
      <c r="B57" s="1" t="n">
        <v>1155</v>
      </c>
      <c r="C57" s="1"/>
      <c r="D57" s="1" t="n">
        <v>5</v>
      </c>
      <c r="E57" s="1" t="n">
        <v>2345</v>
      </c>
      <c r="F57" s="1" t="n">
        <v>5</v>
      </c>
      <c r="G57" s="1" t="n">
        <v>4</v>
      </c>
      <c r="H57" s="9" t="n">
        <v>9.05</v>
      </c>
      <c r="I57" s="1" t="n">
        <v>113.8</v>
      </c>
      <c r="J57" s="1" t="n">
        <v>93.5</v>
      </c>
      <c r="K57" s="0" t="n">
        <f aca="false">I57-J57</f>
        <v>20.3</v>
      </c>
      <c r="L57" s="1" t="n">
        <v>0.614</v>
      </c>
      <c r="M57" s="1" t="n">
        <v>16.51</v>
      </c>
      <c r="N57" s="1" t="n">
        <v>461</v>
      </c>
      <c r="O57" s="1" t="n">
        <v>12.1</v>
      </c>
      <c r="P57" s="8" t="n">
        <v>0.719</v>
      </c>
      <c r="Q57" s="1" t="n">
        <v>1136</v>
      </c>
      <c r="R57" s="1" t="n">
        <v>422</v>
      </c>
      <c r="S57" s="0" t="n">
        <f aca="false">ROUND(E57/32, 1)</f>
        <v>73.3</v>
      </c>
      <c r="T57" s="9" t="n">
        <v>65.8</v>
      </c>
      <c r="U57" s="8" t="n">
        <v>512</v>
      </c>
      <c r="V57" s="9" t="n">
        <v>726</v>
      </c>
      <c r="W57" s="10" t="n">
        <v>0</v>
      </c>
      <c r="X57" s="9" t="n">
        <v>1786</v>
      </c>
      <c r="Y57" s="11" t="n">
        <v>2.64575131106459</v>
      </c>
      <c r="Z57" s="1" t="n">
        <v>0.453</v>
      </c>
      <c r="AA57" s="12" t="n">
        <f aca="false">+7.5</f>
        <v>7.5</v>
      </c>
      <c r="AB57" s="1" t="n">
        <v>1</v>
      </c>
      <c r="AC57" s="9" t="n">
        <v>182</v>
      </c>
      <c r="AD57" s="13"/>
      <c r="AE57" s="14" t="n">
        <v>9.76</v>
      </c>
      <c r="AF57" s="14" t="n">
        <v>0.565</v>
      </c>
      <c r="AG57" s="15" t="n">
        <v>18.88888889</v>
      </c>
      <c r="AH57" s="1" t="n">
        <v>26.6363636363636</v>
      </c>
      <c r="AI57" s="14" t="n">
        <v>113.829564354671</v>
      </c>
      <c r="AJ57" s="14" t="n">
        <v>101.647201724257</v>
      </c>
      <c r="AK57" s="14" t="n">
        <v>57.1826578128995</v>
      </c>
      <c r="AL57" s="13" t="n">
        <v>0.757</v>
      </c>
      <c r="AM57" s="16" t="n">
        <v>20</v>
      </c>
      <c r="AN57" s="14" t="n">
        <v>20.3</v>
      </c>
      <c r="AO57" s="17" t="n">
        <v>0.5868</v>
      </c>
      <c r="AP57" s="18" t="n">
        <v>12.1</v>
      </c>
      <c r="AQ57" s="14" t="n">
        <v>20.27</v>
      </c>
      <c r="AR57" s="19" t="n">
        <v>0.562790697674419</v>
      </c>
      <c r="AS57" s="19" t="n">
        <v>0.366</v>
      </c>
      <c r="AT57" s="14" t="n">
        <v>85.53</v>
      </c>
    </row>
    <row r="58" customFormat="false" ht="12.75" hidden="false" customHeight="false" outlineLevel="0" collapsed="false">
      <c r="A58" s="1" t="s">
        <v>76</v>
      </c>
      <c r="B58" s="1" t="n">
        <v>1308</v>
      </c>
      <c r="C58" s="1"/>
      <c r="D58" s="1" t="n">
        <v>12</v>
      </c>
      <c r="E58" s="1" t="n">
        <v>2504</v>
      </c>
      <c r="F58" s="1" t="n">
        <v>8</v>
      </c>
      <c r="G58" s="1" t="n">
        <v>0</v>
      </c>
      <c r="H58" s="9" t="n">
        <v>-1.38</v>
      </c>
      <c r="I58" s="1" t="n">
        <v>108.5</v>
      </c>
      <c r="J58" s="1" t="n">
        <v>94.9</v>
      </c>
      <c r="K58" s="0" t="n">
        <f aca="false">I58-J58</f>
        <v>13.6</v>
      </c>
      <c r="L58" s="1" t="n">
        <v>0.742</v>
      </c>
      <c r="M58" s="1" t="n">
        <v>9.48</v>
      </c>
      <c r="N58" s="1" t="n">
        <v>377</v>
      </c>
      <c r="O58" s="1" t="n">
        <v>12.7</v>
      </c>
      <c r="P58" s="8" t="n">
        <v>0.848</v>
      </c>
      <c r="Q58" s="1" t="n">
        <v>1368</v>
      </c>
      <c r="R58" s="1" t="n">
        <v>467</v>
      </c>
      <c r="S58" s="0" t="n">
        <f aca="false">ROUND(E58/33, 1)</f>
        <v>75.9</v>
      </c>
      <c r="T58" s="9" t="n">
        <v>64.7</v>
      </c>
      <c r="U58" s="8" t="n">
        <v>591</v>
      </c>
      <c r="V58" s="9" t="n">
        <v>748</v>
      </c>
      <c r="W58" s="10" t="n">
        <v>0</v>
      </c>
      <c r="X58" s="9" t="n">
        <v>2042</v>
      </c>
      <c r="Y58" s="11" t="n">
        <v>1.4142135623731</v>
      </c>
      <c r="Z58" s="1" t="n">
        <v>0.455</v>
      </c>
      <c r="AA58" s="12" t="n">
        <f aca="false">+10.9</f>
        <v>10.9</v>
      </c>
      <c r="AB58" s="1" t="n">
        <v>0</v>
      </c>
      <c r="AC58" s="9" t="n">
        <v>186</v>
      </c>
      <c r="AD58" s="13"/>
      <c r="AE58" s="14" t="n">
        <v>-1.51</v>
      </c>
      <c r="AF58" s="14" t="n">
        <v>0.54</v>
      </c>
      <c r="AG58" s="15" t="n">
        <v>61.88888889</v>
      </c>
      <c r="AH58" s="1" t="n">
        <v>28.1935483870967</v>
      </c>
      <c r="AI58" s="14" t="n">
        <v>113.631942180314</v>
      </c>
      <c r="AJ58" s="14" t="n">
        <v>98.9305054925507</v>
      </c>
      <c r="AK58" s="14" t="n">
        <v>54.6350402731856</v>
      </c>
      <c r="AL58" s="13" t="n">
        <v>0.643</v>
      </c>
      <c r="AM58" s="16" t="n">
        <v>31</v>
      </c>
      <c r="AN58" s="14" t="n">
        <v>13.6</v>
      </c>
      <c r="AO58" s="17" t="n">
        <v>0.4947</v>
      </c>
      <c r="AP58" s="18" t="n">
        <v>12.7</v>
      </c>
      <c r="AQ58" s="14" t="n">
        <v>13.56</v>
      </c>
      <c r="AR58" s="19" t="n">
        <v>0.564528301886792</v>
      </c>
      <c r="AS58" s="19" t="n">
        <v>0.333</v>
      </c>
      <c r="AT58" s="14" t="n">
        <v>79.93</v>
      </c>
    </row>
    <row r="59" customFormat="false" ht="12.75" hidden="false" customHeight="false" outlineLevel="0" collapsed="false">
      <c r="A59" s="1" t="s">
        <v>77</v>
      </c>
      <c r="B59" s="1" t="n">
        <v>1120</v>
      </c>
      <c r="C59" s="1"/>
      <c r="D59" s="1" t="n">
        <v>4</v>
      </c>
      <c r="E59" s="1" t="n">
        <v>2668</v>
      </c>
      <c r="F59" s="1" t="n">
        <v>5</v>
      </c>
      <c r="G59" s="1" t="n">
        <v>8</v>
      </c>
      <c r="H59" s="9" t="n">
        <v>7.48</v>
      </c>
      <c r="I59" s="1" t="n">
        <v>118.2</v>
      </c>
      <c r="J59" s="1" t="n">
        <v>97.6</v>
      </c>
      <c r="K59" s="0" t="n">
        <f aca="false">I59-J59</f>
        <v>20.6</v>
      </c>
      <c r="L59" s="1" t="n">
        <v>0.652</v>
      </c>
      <c r="M59" s="1" t="n">
        <v>17.58</v>
      </c>
      <c r="N59" s="1" t="n">
        <v>620</v>
      </c>
      <c r="O59" s="1" t="n">
        <v>12.3</v>
      </c>
      <c r="P59" s="8" t="n">
        <v>0.781</v>
      </c>
      <c r="Q59" s="1" t="n">
        <v>1222</v>
      </c>
      <c r="R59" s="1" t="n">
        <v>462</v>
      </c>
      <c r="S59" s="0" t="n">
        <f aca="false">ROUND(E59/32, 1)</f>
        <v>83.4</v>
      </c>
      <c r="T59" s="1" t="n">
        <v>73.3</v>
      </c>
      <c r="U59" s="8" t="n">
        <v>635</v>
      </c>
      <c r="V59" s="9" t="n">
        <v>852</v>
      </c>
      <c r="W59" s="10" t="n">
        <v>0</v>
      </c>
      <c r="X59" s="9" t="n">
        <v>1977</v>
      </c>
      <c r="Y59" s="11" t="n">
        <v>2.44948974278318</v>
      </c>
      <c r="Z59" s="1" t="n">
        <v>0.439</v>
      </c>
      <c r="AA59" s="12" t="n">
        <f aca="false">+10.1</f>
        <v>10.1</v>
      </c>
      <c r="AB59" s="1" t="n">
        <v>1</v>
      </c>
      <c r="AC59" s="9" t="n">
        <v>238</v>
      </c>
      <c r="AD59" s="13"/>
      <c r="AE59" s="14" t="n">
        <v>7.53</v>
      </c>
      <c r="AF59" s="14" t="n">
        <v>0.567</v>
      </c>
      <c r="AG59" s="15" t="n">
        <v>12</v>
      </c>
      <c r="AH59" s="1" t="n">
        <v>26.2424242424242</v>
      </c>
      <c r="AI59" s="14" t="n">
        <v>119.835896981768</v>
      </c>
      <c r="AJ59" s="14" t="n">
        <v>104.941253003973</v>
      </c>
      <c r="AK59" s="14" t="n">
        <v>57.948449552192</v>
      </c>
      <c r="AL59" s="13" t="n">
        <v>0.786</v>
      </c>
      <c r="AM59" s="16" t="n">
        <v>19</v>
      </c>
      <c r="AN59" s="14" t="n">
        <v>20.6</v>
      </c>
      <c r="AO59" s="17" t="n">
        <v>0.5619</v>
      </c>
      <c r="AP59" s="18" t="n">
        <v>12.3</v>
      </c>
      <c r="AQ59" s="14" t="n">
        <v>20.63</v>
      </c>
      <c r="AR59" s="19" t="n">
        <v>0.665625</v>
      </c>
      <c r="AS59" s="19" t="n">
        <v>0.366</v>
      </c>
      <c r="AT59" s="14" t="n">
        <v>85.68</v>
      </c>
    </row>
    <row r="60" customFormat="false" ht="12.75" hidden="false" customHeight="false" outlineLevel="0" collapsed="false">
      <c r="A60" s="1" t="s">
        <v>78</v>
      </c>
      <c r="B60" s="1" t="n">
        <v>1158</v>
      </c>
      <c r="C60" s="1"/>
      <c r="D60" s="1" t="n">
        <v>13</v>
      </c>
      <c r="E60" s="1" t="n">
        <v>2478</v>
      </c>
      <c r="F60" s="1" t="n">
        <v>9</v>
      </c>
      <c r="G60" s="1" t="n">
        <v>0</v>
      </c>
      <c r="H60" s="9" t="n">
        <v>-3.79</v>
      </c>
      <c r="I60" s="1" t="n">
        <v>109.9</v>
      </c>
      <c r="J60" s="1" t="n">
        <v>105.2</v>
      </c>
      <c r="K60" s="0" t="n">
        <f aca="false">I60-J60</f>
        <v>4.7</v>
      </c>
      <c r="L60" s="1" t="n">
        <v>0.583</v>
      </c>
      <c r="M60" s="1" t="n">
        <v>1.62</v>
      </c>
      <c r="N60" s="1" t="n">
        <v>520</v>
      </c>
      <c r="O60" s="1" t="n">
        <v>9.6</v>
      </c>
      <c r="P60" s="8" t="n">
        <v>0.788</v>
      </c>
      <c r="Q60" s="1" t="n">
        <v>1089</v>
      </c>
      <c r="R60" s="1" t="n">
        <v>377</v>
      </c>
      <c r="S60" s="0" t="n">
        <f aca="false">ROUND(E60/33, 1)</f>
        <v>75.1</v>
      </c>
      <c r="T60" s="9" t="n">
        <v>69.8</v>
      </c>
      <c r="U60" s="8" t="n">
        <v>540</v>
      </c>
      <c r="V60" s="9" t="n">
        <v>699</v>
      </c>
      <c r="W60" s="10" t="n">
        <v>0</v>
      </c>
      <c r="X60" s="9" t="n">
        <v>1854</v>
      </c>
      <c r="Y60" s="11" t="n">
        <v>0</v>
      </c>
      <c r="Z60" s="1" t="n">
        <v>0.46</v>
      </c>
      <c r="AA60" s="12" t="n">
        <f aca="false">+5.4</f>
        <v>5.4</v>
      </c>
      <c r="AB60" s="1" t="n">
        <v>0</v>
      </c>
      <c r="AC60" s="9" t="n">
        <v>171</v>
      </c>
      <c r="AD60" s="13"/>
      <c r="AE60" s="14" t="n">
        <v>-4.61</v>
      </c>
      <c r="AF60" s="14" t="n">
        <v>0.569</v>
      </c>
      <c r="AG60" s="15" t="n">
        <v>102.1111111</v>
      </c>
      <c r="AH60" s="1" t="n">
        <v>24.5625</v>
      </c>
      <c r="AI60" s="14" t="n">
        <v>116.966819261854</v>
      </c>
      <c r="AJ60" s="14" t="n">
        <v>108.056603419921</v>
      </c>
      <c r="AK60" s="14" t="n">
        <v>57.4373486864427</v>
      </c>
      <c r="AL60" s="13" t="n">
        <v>0.759</v>
      </c>
      <c r="AM60" s="16" t="n">
        <v>47</v>
      </c>
      <c r="AN60" s="14" t="n">
        <v>4.7</v>
      </c>
      <c r="AO60" s="17" t="n">
        <v>0.4846</v>
      </c>
      <c r="AP60" s="18" t="n">
        <v>9.6</v>
      </c>
      <c r="AQ60" s="14" t="n">
        <v>4.74</v>
      </c>
      <c r="AR60" s="19" t="n">
        <v>0.519702602230483</v>
      </c>
      <c r="AS60" s="19" t="n">
        <v>0.363</v>
      </c>
      <c r="AT60" s="14" t="n">
        <v>75.02</v>
      </c>
    </row>
    <row r="61" customFormat="false" ht="12.75" hidden="false" customHeight="false" outlineLevel="0" collapsed="false">
      <c r="A61" s="1" t="s">
        <v>79</v>
      </c>
      <c r="B61" s="1" t="n">
        <v>1395</v>
      </c>
      <c r="C61" s="1"/>
      <c r="D61" s="1" t="n">
        <v>6</v>
      </c>
      <c r="E61" s="1" t="n">
        <v>2656</v>
      </c>
      <c r="F61" s="1" t="n">
        <v>5</v>
      </c>
      <c r="G61" s="1" t="n">
        <v>11</v>
      </c>
      <c r="H61" s="9" t="n">
        <v>9.98</v>
      </c>
      <c r="I61" s="1" t="n">
        <v>120.6</v>
      </c>
      <c r="J61" s="1" t="n">
        <v>101.7</v>
      </c>
      <c r="K61" s="0" t="n">
        <f aca="false">I61-J61</f>
        <v>18.9</v>
      </c>
      <c r="L61" s="1" t="n">
        <v>0.715</v>
      </c>
      <c r="M61" s="1" t="n">
        <v>17.03</v>
      </c>
      <c r="N61" s="1" t="n">
        <v>465</v>
      </c>
      <c r="O61" s="1" t="n">
        <v>12.7</v>
      </c>
      <c r="P61" s="8" t="n">
        <v>0.656</v>
      </c>
      <c r="Q61" s="1" t="n">
        <v>1166</v>
      </c>
      <c r="R61" s="1" t="n">
        <v>601</v>
      </c>
      <c r="S61" s="0" t="n">
        <f aca="false">ROUND(E61/32, 1)</f>
        <v>83</v>
      </c>
      <c r="T61" s="9" t="n">
        <v>75.9</v>
      </c>
      <c r="U61" s="8" t="n">
        <v>537</v>
      </c>
      <c r="V61" s="9" t="n">
        <v>677</v>
      </c>
      <c r="W61" s="10" t="n">
        <v>0</v>
      </c>
      <c r="X61" s="9" t="n">
        <v>1925</v>
      </c>
      <c r="Y61" s="11" t="n">
        <v>2.44948974278318</v>
      </c>
      <c r="Z61" s="1" t="n">
        <v>0.499</v>
      </c>
      <c r="AA61" s="12" t="n">
        <f aca="false">+7.1</f>
        <v>7.1</v>
      </c>
      <c r="AB61" s="1" t="n">
        <v>1</v>
      </c>
      <c r="AC61" s="9" t="n">
        <v>211</v>
      </c>
      <c r="AD61" s="13"/>
      <c r="AE61" s="14" t="n">
        <v>9.82</v>
      </c>
      <c r="AF61" s="14" t="n">
        <v>0.594</v>
      </c>
      <c r="AG61" s="15" t="n">
        <v>21</v>
      </c>
      <c r="AH61" s="1" t="n">
        <v>25.3636363636363</v>
      </c>
      <c r="AI61" s="14" t="n">
        <v>121.707856666357</v>
      </c>
      <c r="AJ61" s="14" t="n">
        <v>111.453054729416</v>
      </c>
      <c r="AK61" s="14" t="n">
        <v>60.1003600209255</v>
      </c>
      <c r="AL61" s="13" t="n">
        <v>0.708</v>
      </c>
      <c r="AM61" s="16" t="n">
        <v>47</v>
      </c>
      <c r="AN61" s="14" t="n">
        <v>18.9</v>
      </c>
      <c r="AO61" s="17" t="n">
        <v>0.5888</v>
      </c>
      <c r="AP61" s="18" t="n">
        <v>12.7</v>
      </c>
      <c r="AQ61" s="14" t="n">
        <v>18.91</v>
      </c>
      <c r="AR61" s="19" t="n">
        <v>0.518773946360153</v>
      </c>
      <c r="AS61" s="19" t="n">
        <v>0.4</v>
      </c>
      <c r="AT61" s="14" t="n">
        <v>86.67</v>
      </c>
    </row>
    <row r="62" customFormat="false" ht="12.75" hidden="false" customHeight="false" outlineLevel="0" collapsed="false">
      <c r="A62" s="1" t="s">
        <v>80</v>
      </c>
      <c r="B62" s="1" t="n">
        <v>1113</v>
      </c>
      <c r="C62" s="1"/>
      <c r="D62" s="1" t="n">
        <v>11</v>
      </c>
      <c r="E62" s="1" t="n">
        <v>2589</v>
      </c>
      <c r="F62" s="1" t="n">
        <v>4</v>
      </c>
      <c r="G62" s="1" t="n">
        <v>1</v>
      </c>
      <c r="H62" s="9" t="n">
        <v>6.82</v>
      </c>
      <c r="I62" s="1" t="n">
        <v>117.7</v>
      </c>
      <c r="J62" s="1" t="n">
        <v>102.9</v>
      </c>
      <c r="K62" s="0" t="n">
        <f aca="false">I62-J62</f>
        <v>14.8</v>
      </c>
      <c r="L62" s="1" t="n">
        <v>0.582</v>
      </c>
      <c r="M62" s="1" t="n">
        <v>15.01</v>
      </c>
      <c r="N62" s="1" t="n">
        <v>578</v>
      </c>
      <c r="O62" s="1" t="n">
        <v>10.7</v>
      </c>
      <c r="P62" s="1" t="n">
        <v>0.645</v>
      </c>
      <c r="Q62" s="1" t="n">
        <v>1093</v>
      </c>
      <c r="R62" s="1" t="n">
        <v>518</v>
      </c>
      <c r="S62" s="0" t="n">
        <f aca="false">ROUND(E62/31, 1)</f>
        <v>83.5</v>
      </c>
      <c r="T62" s="1" t="n">
        <v>75.3</v>
      </c>
      <c r="U62" s="8" t="n">
        <v>585</v>
      </c>
      <c r="V62" s="9" t="n">
        <v>760</v>
      </c>
      <c r="W62" s="10" t="n">
        <v>0</v>
      </c>
      <c r="X62" s="9" t="n">
        <v>1867</v>
      </c>
      <c r="Y62" s="11" t="n">
        <v>2.23606797749979</v>
      </c>
      <c r="Z62" s="1" t="n">
        <v>0.464</v>
      </c>
      <c r="AA62" s="12" t="n">
        <f aca="false">+8.2</f>
        <v>8.2</v>
      </c>
      <c r="AB62" s="1" t="n">
        <v>1</v>
      </c>
      <c r="AC62" s="9" t="n">
        <v>204</v>
      </c>
      <c r="AD62" s="13"/>
      <c r="AE62" s="14" t="n">
        <v>5.8</v>
      </c>
      <c r="AF62" s="14" t="n">
        <v>0.578</v>
      </c>
      <c r="AG62" s="15" t="n">
        <v>45.77777778</v>
      </c>
      <c r="AH62" s="1" t="n">
        <v>25.4375</v>
      </c>
      <c r="AI62" s="14" t="n">
        <v>120.486316485444</v>
      </c>
      <c r="AJ62" s="14" t="n">
        <v>108.564061214946</v>
      </c>
      <c r="AK62" s="14" t="n">
        <v>58.7547795719469</v>
      </c>
      <c r="AL62" s="13" t="n">
        <v>0.738</v>
      </c>
      <c r="AM62" s="16" t="n">
        <v>47</v>
      </c>
      <c r="AN62" s="14" t="n">
        <v>14.8</v>
      </c>
      <c r="AO62" s="17" t="n">
        <v>0.5461</v>
      </c>
      <c r="AP62" s="18" t="n">
        <v>10.7</v>
      </c>
      <c r="AQ62" s="14" t="n">
        <v>14.71</v>
      </c>
      <c r="AR62" s="19" t="n">
        <v>0.608</v>
      </c>
      <c r="AS62" s="19" t="n">
        <v>0.364</v>
      </c>
      <c r="AT62" s="14" t="n">
        <v>83.63</v>
      </c>
    </row>
    <row r="63" customFormat="false" ht="12.75" hidden="false" customHeight="false" outlineLevel="0" collapsed="false">
      <c r="A63" s="1" t="s">
        <v>81</v>
      </c>
      <c r="B63" s="1" t="n">
        <v>1393</v>
      </c>
      <c r="C63" s="1"/>
      <c r="D63" s="1" t="n">
        <v>11</v>
      </c>
      <c r="E63" s="1" t="n">
        <v>2229</v>
      </c>
      <c r="F63" s="1" t="n">
        <v>5</v>
      </c>
      <c r="G63" s="1" t="n">
        <v>32</v>
      </c>
      <c r="H63" s="9" t="n">
        <v>9.26</v>
      </c>
      <c r="I63" s="1" t="n">
        <v>107.7</v>
      </c>
      <c r="J63" s="1" t="n">
        <v>94.1</v>
      </c>
      <c r="K63" s="0" t="n">
        <f aca="false">I63-J63</f>
        <v>13.6</v>
      </c>
      <c r="L63" s="1" t="n">
        <v>0.735</v>
      </c>
      <c r="M63" s="1" t="n">
        <v>12.25</v>
      </c>
      <c r="N63" s="1" t="n">
        <v>534</v>
      </c>
      <c r="O63" s="1" t="n">
        <v>12.6</v>
      </c>
      <c r="P63" s="8" t="n">
        <v>0.606</v>
      </c>
      <c r="Q63" s="1" t="n">
        <v>1233</v>
      </c>
      <c r="R63" s="1" t="n">
        <v>362</v>
      </c>
      <c r="S63" s="0" t="n">
        <f aca="false">ROUND(E63/33, 1)</f>
        <v>67.5</v>
      </c>
      <c r="T63" s="1" t="n">
        <v>64.5</v>
      </c>
      <c r="U63" s="8" t="n">
        <v>538</v>
      </c>
      <c r="V63" s="9" t="n">
        <v>601</v>
      </c>
      <c r="W63" s="10" t="n">
        <v>2.23606797749979</v>
      </c>
      <c r="X63" s="9" t="n">
        <v>1796</v>
      </c>
      <c r="Y63" s="11" t="n">
        <v>2.64575131106459</v>
      </c>
      <c r="Z63" s="1" t="n">
        <v>0.418</v>
      </c>
      <c r="AA63" s="12" t="n">
        <f aca="false">+3</f>
        <v>3</v>
      </c>
      <c r="AB63" s="1" t="n">
        <v>1</v>
      </c>
      <c r="AC63" s="9" t="n">
        <v>239</v>
      </c>
      <c r="AD63" s="13"/>
      <c r="AE63" s="14" t="n">
        <v>8.72</v>
      </c>
      <c r="AF63" s="14" t="n">
        <v>0.521</v>
      </c>
      <c r="AG63" s="15" t="n">
        <v>50.66666667</v>
      </c>
      <c r="AH63" s="1" t="n">
        <v>25.5588235294117</v>
      </c>
      <c r="AI63" s="14" t="n">
        <v>108.900036859148</v>
      </c>
      <c r="AJ63" s="14" t="n">
        <v>102.593621951188</v>
      </c>
      <c r="AK63" s="14" t="n">
        <v>52.8238833051165</v>
      </c>
      <c r="AL63" s="13" t="n">
        <v>0.74</v>
      </c>
      <c r="AM63" s="16" t="n">
        <v>47</v>
      </c>
      <c r="AN63" s="14" t="n">
        <v>13.6</v>
      </c>
      <c r="AO63" s="17" t="n">
        <v>0.5839</v>
      </c>
      <c r="AP63" s="18" t="n">
        <v>12.6</v>
      </c>
      <c r="AQ63" s="14" t="n">
        <v>13.6</v>
      </c>
      <c r="AR63" s="19" t="n">
        <v>0.448507462686567</v>
      </c>
      <c r="AS63" s="19" t="n">
        <v>0.321</v>
      </c>
      <c r="AT63" s="14" t="n">
        <v>82.68</v>
      </c>
    </row>
    <row r="64" customFormat="false" ht="12.75" hidden="false" customHeight="false" outlineLevel="0" collapsed="false">
      <c r="A64" s="1" t="s">
        <v>82</v>
      </c>
      <c r="B64" s="1" t="n">
        <v>1277</v>
      </c>
      <c r="C64" s="1"/>
      <c r="D64" s="1" t="n">
        <v>3</v>
      </c>
      <c r="E64" s="1" t="n">
        <v>2672</v>
      </c>
      <c r="F64" s="1" t="n">
        <v>9</v>
      </c>
      <c r="G64" s="1" t="n">
        <v>20</v>
      </c>
      <c r="H64" s="9" t="n">
        <v>7.29</v>
      </c>
      <c r="I64" s="1" t="n">
        <v>120</v>
      </c>
      <c r="J64" s="1" t="n">
        <v>93.6</v>
      </c>
      <c r="K64" s="0" t="n">
        <f aca="false">I64-J64</f>
        <v>26.4</v>
      </c>
      <c r="L64" s="1" t="n">
        <v>0.719</v>
      </c>
      <c r="M64" s="1" t="n">
        <v>23.46</v>
      </c>
      <c r="N64" s="1" t="n">
        <v>509</v>
      </c>
      <c r="O64" s="1" t="n">
        <v>13.2</v>
      </c>
      <c r="P64" s="8" t="n">
        <v>0.879</v>
      </c>
      <c r="Q64" s="1" t="n">
        <v>1348</v>
      </c>
      <c r="R64" s="1" t="n">
        <v>638</v>
      </c>
      <c r="S64" s="0" t="n">
        <f aca="false">ROUND(E64/33, 1)</f>
        <v>81</v>
      </c>
      <c r="T64" s="1" t="n">
        <v>64.8</v>
      </c>
      <c r="U64" s="8" t="n">
        <v>596</v>
      </c>
      <c r="V64" s="9" t="n">
        <v>671</v>
      </c>
      <c r="W64" s="10" t="n">
        <v>2.64575131106459</v>
      </c>
      <c r="X64" s="9" t="n">
        <v>1872</v>
      </c>
      <c r="Y64" s="11" t="n">
        <v>1.4142135623731</v>
      </c>
      <c r="Z64" s="1" t="n">
        <v>0.504</v>
      </c>
      <c r="AA64" s="1" t="n">
        <v>16.2</v>
      </c>
      <c r="AB64" s="1" t="n">
        <v>1</v>
      </c>
      <c r="AC64" s="9" t="n">
        <v>135</v>
      </c>
      <c r="AD64" s="13"/>
      <c r="AE64" s="14" t="n">
        <v>6.5</v>
      </c>
      <c r="AF64" s="14" t="n">
        <v>0.609</v>
      </c>
      <c r="AG64" s="15" t="n">
        <v>5.222222222</v>
      </c>
      <c r="AH64" s="1" t="n">
        <v>29.9411764705882</v>
      </c>
      <c r="AI64" s="14" t="n">
        <v>124.150865067086</v>
      </c>
      <c r="AJ64" s="14" t="n">
        <v>99.3725227577283</v>
      </c>
      <c r="AK64" s="14" t="n">
        <v>61.5533202725191</v>
      </c>
      <c r="AL64" s="13" t="n">
        <v>0.751</v>
      </c>
      <c r="AM64" s="16" t="n">
        <v>5</v>
      </c>
      <c r="AN64" s="14" t="n">
        <v>26.4</v>
      </c>
      <c r="AO64" s="17" t="n">
        <v>0.5362</v>
      </c>
      <c r="AP64" s="18" t="n">
        <v>13.2</v>
      </c>
      <c r="AQ64" s="14" t="n">
        <v>26.34</v>
      </c>
      <c r="AR64" s="19" t="n">
        <v>0.506415094339623</v>
      </c>
      <c r="AS64" s="19" t="n">
        <v>0.413</v>
      </c>
      <c r="AT64" s="14" t="n">
        <v>92.34</v>
      </c>
    </row>
    <row r="65" customFormat="false" ht="12.75" hidden="false" customHeight="false" outlineLevel="0" collapsed="false">
      <c r="A65" s="1" t="s">
        <v>83</v>
      </c>
      <c r="B65" s="1" t="n">
        <v>1137</v>
      </c>
      <c r="C65" s="1"/>
      <c r="D65" s="1" t="n">
        <v>14</v>
      </c>
      <c r="E65" s="1" t="n">
        <v>2759</v>
      </c>
      <c r="F65" s="1" t="n">
        <v>9</v>
      </c>
      <c r="G65" s="1" t="n">
        <v>1</v>
      </c>
      <c r="H65" s="9" t="n">
        <v>-4.01</v>
      </c>
      <c r="I65" s="1" t="n">
        <v>109.2</v>
      </c>
      <c r="J65" s="1" t="n">
        <v>102.4</v>
      </c>
      <c r="K65" s="0" t="n">
        <f aca="false">I65-J65</f>
        <v>6.8</v>
      </c>
      <c r="L65" s="1" t="n">
        <v>0.68</v>
      </c>
      <c r="M65" s="1" t="n">
        <v>4.18</v>
      </c>
      <c r="N65" s="1" t="n">
        <v>606</v>
      </c>
      <c r="O65" s="1" t="n">
        <v>12.6</v>
      </c>
      <c r="P65" s="8" t="n">
        <v>0.735</v>
      </c>
      <c r="Q65" s="1" t="n">
        <v>1253</v>
      </c>
      <c r="R65" s="1" t="n">
        <v>492</v>
      </c>
      <c r="S65" s="0" t="n">
        <f aca="false">ROUND(E65/34, 1)</f>
        <v>81.1</v>
      </c>
      <c r="T65" s="1" t="n">
        <v>72.9</v>
      </c>
      <c r="U65" s="8" t="n">
        <v>632</v>
      </c>
      <c r="V65" s="9" t="n">
        <v>784</v>
      </c>
      <c r="W65" s="10" t="n">
        <v>0</v>
      </c>
      <c r="X65" s="9" t="n">
        <v>1995</v>
      </c>
      <c r="Y65" s="11" t="n">
        <v>0</v>
      </c>
      <c r="Z65" s="1" t="n">
        <v>0.472</v>
      </c>
      <c r="AA65" s="1" t="n">
        <v>8.3</v>
      </c>
      <c r="AB65" s="1" t="n">
        <v>0</v>
      </c>
      <c r="AC65" s="9" t="n">
        <v>191</v>
      </c>
      <c r="AD65" s="13"/>
      <c r="AE65" s="14" t="n">
        <v>-4.85</v>
      </c>
      <c r="AF65" s="14" t="n">
        <v>0.576</v>
      </c>
      <c r="AG65" s="15" t="n">
        <v>99.44444444</v>
      </c>
      <c r="AH65" s="1" t="n">
        <v>27.3428571428571</v>
      </c>
      <c r="AI65" s="14" t="n">
        <v>116.206415009749</v>
      </c>
      <c r="AJ65" s="14" t="n">
        <v>104.412134549184</v>
      </c>
      <c r="AK65" s="14" t="n">
        <v>58.4293082994763</v>
      </c>
      <c r="AL65" s="13" t="n">
        <v>0.717</v>
      </c>
      <c r="AM65" s="16" t="n">
        <v>47</v>
      </c>
      <c r="AN65" s="14" t="n">
        <v>7</v>
      </c>
      <c r="AO65" s="17" t="n">
        <v>0.4795</v>
      </c>
      <c r="AP65" s="18" t="n">
        <v>12.6</v>
      </c>
      <c r="AQ65" s="14" t="n">
        <v>6.81</v>
      </c>
      <c r="AR65" s="19" t="n">
        <v>0.568115942028985</v>
      </c>
      <c r="AS65" s="19" t="n">
        <v>0.343</v>
      </c>
      <c r="AT65" s="14" t="n">
        <v>77.42</v>
      </c>
    </row>
    <row r="66" customFormat="false" ht="12.75" hidden="false" customHeight="false" outlineLevel="0" collapsed="false">
      <c r="A66" s="1" t="s">
        <v>84</v>
      </c>
      <c r="B66" s="1" t="n">
        <v>1348</v>
      </c>
      <c r="C66" s="1"/>
      <c r="D66" s="1" t="n">
        <v>7</v>
      </c>
      <c r="E66" s="1" t="n">
        <v>2438</v>
      </c>
      <c r="F66" s="1" t="n">
        <v>6</v>
      </c>
      <c r="G66" s="1" t="n">
        <v>1</v>
      </c>
      <c r="H66" s="9" t="n">
        <v>3.67</v>
      </c>
      <c r="I66" s="1" t="n">
        <v>111.7</v>
      </c>
      <c r="J66" s="1" t="n">
        <v>97.3</v>
      </c>
      <c r="K66" s="0" t="n">
        <f aca="false">I66-J66</f>
        <v>14.4</v>
      </c>
      <c r="L66" s="1" t="n">
        <v>0.591</v>
      </c>
      <c r="M66" s="1" t="n">
        <v>12.18</v>
      </c>
      <c r="N66" s="1" t="n">
        <v>422</v>
      </c>
      <c r="O66" s="1" t="n">
        <v>10.8</v>
      </c>
      <c r="P66" s="8" t="n">
        <v>0.781</v>
      </c>
      <c r="Q66" s="1" t="n">
        <v>1100</v>
      </c>
      <c r="R66" s="1" t="n">
        <v>489</v>
      </c>
      <c r="S66" s="0" t="n">
        <f aca="false">ROUND(E66/32, 1)</f>
        <v>76.2</v>
      </c>
      <c r="T66" s="1" t="n">
        <v>67.9</v>
      </c>
      <c r="U66" s="8" t="n">
        <v>609</v>
      </c>
      <c r="V66" s="9" t="n">
        <v>600</v>
      </c>
      <c r="W66" s="10" t="n">
        <v>0</v>
      </c>
      <c r="X66" s="9" t="n">
        <v>1905</v>
      </c>
      <c r="Y66" s="11" t="n">
        <v>2.44948974278318</v>
      </c>
      <c r="Z66" s="1" t="n">
        <v>0.462</v>
      </c>
      <c r="AA66" s="1" t="n">
        <v>8.3</v>
      </c>
      <c r="AB66" s="1" t="n">
        <v>0</v>
      </c>
      <c r="AC66" s="9" t="n">
        <v>237</v>
      </c>
      <c r="AD66" s="13"/>
      <c r="AE66" s="14" t="n">
        <v>2.69</v>
      </c>
      <c r="AF66" s="14" t="n">
        <v>0.546</v>
      </c>
      <c r="AG66" s="15" t="n">
        <v>37.88888889</v>
      </c>
      <c r="AH66" s="1" t="n">
        <v>23.1212121212121</v>
      </c>
      <c r="AI66" s="14" t="n">
        <v>115.638986221372</v>
      </c>
      <c r="AJ66" s="14" t="n">
        <v>102.577467064107</v>
      </c>
      <c r="AK66" s="14" t="n">
        <v>55.2463469895357</v>
      </c>
      <c r="AL66" s="13" t="n">
        <v>0.707</v>
      </c>
      <c r="AM66" s="16" t="n">
        <v>28</v>
      </c>
      <c r="AN66" s="14" t="n">
        <v>14.4</v>
      </c>
      <c r="AO66" s="17" t="n">
        <v>0.552</v>
      </c>
      <c r="AP66" s="18" t="n">
        <v>10.8</v>
      </c>
      <c r="AQ66" s="14" t="n">
        <v>14.38</v>
      </c>
      <c r="AR66" s="19" t="n">
        <v>0.484824902723735</v>
      </c>
      <c r="AS66" s="19" t="n">
        <v>0.35</v>
      </c>
      <c r="AT66" s="14" t="n">
        <v>83.31</v>
      </c>
    </row>
    <row r="67" customFormat="false" ht="12.75" hidden="false" customHeight="false" outlineLevel="0" collapsed="false">
      <c r="A67" s="1" t="s">
        <v>85</v>
      </c>
      <c r="B67" s="1" t="n">
        <v>1328</v>
      </c>
      <c r="C67" s="1"/>
      <c r="D67" s="1" t="n">
        <v>10</v>
      </c>
      <c r="E67" s="1" t="n">
        <v>2640</v>
      </c>
      <c r="F67" s="1" t="n">
        <v>2</v>
      </c>
      <c r="G67" s="1" t="n">
        <v>17</v>
      </c>
      <c r="H67" s="9" t="n">
        <v>10.9</v>
      </c>
      <c r="I67" s="1" t="n">
        <v>115.1</v>
      </c>
      <c r="J67" s="1" t="n">
        <v>100.7</v>
      </c>
      <c r="K67" s="0" t="n">
        <f aca="false">I67-J67</f>
        <v>14.4</v>
      </c>
      <c r="L67" s="1" t="n">
        <v>0.611</v>
      </c>
      <c r="M67" s="1" t="n">
        <v>14.41</v>
      </c>
      <c r="N67" s="1" t="n">
        <v>494</v>
      </c>
      <c r="O67" s="1" t="n">
        <v>13.4</v>
      </c>
      <c r="P67" s="11" t="n">
        <v>0.581</v>
      </c>
      <c r="Q67" s="1" t="n">
        <v>1175</v>
      </c>
      <c r="R67" s="1" t="n">
        <v>467</v>
      </c>
      <c r="S67" s="0" t="n">
        <f aca="false">ROUND(E67/31, 1)</f>
        <v>85.2</v>
      </c>
      <c r="T67" s="1" t="n">
        <v>81.6</v>
      </c>
      <c r="U67" s="8" t="n">
        <v>533</v>
      </c>
      <c r="V67" s="9" t="n">
        <v>815</v>
      </c>
      <c r="W67" s="10" t="n">
        <v>1.4142135623731</v>
      </c>
      <c r="X67" s="9" t="n">
        <v>1993</v>
      </c>
      <c r="Y67" s="11" t="n">
        <v>2.44948974278318</v>
      </c>
      <c r="Z67" s="1" t="n">
        <v>0.464</v>
      </c>
      <c r="AA67" s="1" t="n">
        <v>3.5</v>
      </c>
      <c r="AB67" s="1" t="n">
        <v>1</v>
      </c>
      <c r="AC67" s="9" t="n">
        <v>204</v>
      </c>
      <c r="AD67" s="13"/>
      <c r="AE67" s="14" t="n">
        <v>11.96</v>
      </c>
      <c r="AF67" s="14" t="n">
        <v>0.572</v>
      </c>
      <c r="AG67" s="15" t="n">
        <v>38.66666667</v>
      </c>
      <c r="AH67" s="1" t="n">
        <v>28.09375</v>
      </c>
      <c r="AI67" s="14" t="n">
        <v>114.269016320926</v>
      </c>
      <c r="AJ67" s="14" t="n">
        <v>102.867635500961</v>
      </c>
      <c r="AK67" s="14" t="n">
        <v>57.0345672616043</v>
      </c>
      <c r="AL67" s="13" t="n">
        <v>0.748</v>
      </c>
      <c r="AM67" s="16" t="n">
        <v>47</v>
      </c>
      <c r="AN67" s="14" t="n">
        <v>14.4</v>
      </c>
      <c r="AO67" s="17" t="n">
        <v>0.5734</v>
      </c>
      <c r="AP67" s="18" t="n">
        <v>13.4</v>
      </c>
      <c r="AQ67" s="14" t="n">
        <v>14.42</v>
      </c>
      <c r="AR67" s="19" t="n">
        <v>0.652</v>
      </c>
      <c r="AS67" s="19" t="n">
        <v>0.363</v>
      </c>
      <c r="AT67" s="14" t="n">
        <v>84.55</v>
      </c>
    </row>
    <row r="68" customFormat="false" ht="12.75" hidden="false" customHeight="false" outlineLevel="0" collapsed="false">
      <c r="A68" s="1" t="s">
        <v>86</v>
      </c>
      <c r="B68" s="1" t="n">
        <v>1181</v>
      </c>
      <c r="C68" s="1"/>
      <c r="D68" s="1" t="n">
        <v>2</v>
      </c>
      <c r="E68" s="1" t="n">
        <v>2795</v>
      </c>
      <c r="F68" s="1" t="n">
        <v>7</v>
      </c>
      <c r="G68" s="1" t="n">
        <v>33</v>
      </c>
      <c r="H68" s="9" t="n">
        <v>9.92</v>
      </c>
      <c r="I68" s="1" t="n">
        <v>122.6</v>
      </c>
      <c r="J68" s="1" t="n">
        <v>93.5</v>
      </c>
      <c r="K68" s="0" t="n">
        <f aca="false">I68-J68</f>
        <v>29.1</v>
      </c>
      <c r="L68" s="1" t="n">
        <v>0.765</v>
      </c>
      <c r="M68" s="1" t="n">
        <v>24.95</v>
      </c>
      <c r="N68" s="1" t="n">
        <v>505</v>
      </c>
      <c r="O68" s="1" t="n">
        <v>12.6</v>
      </c>
      <c r="P68" s="8" t="n">
        <v>0.788</v>
      </c>
      <c r="Q68" s="1" t="n">
        <v>1379</v>
      </c>
      <c r="R68" s="1" t="n">
        <v>578</v>
      </c>
      <c r="S68" s="0" t="n">
        <f aca="false">ROUND(E68/33, 1)</f>
        <v>84.7</v>
      </c>
      <c r="T68" s="1" t="n">
        <v>69.6</v>
      </c>
      <c r="U68" s="1" t="n">
        <v>515</v>
      </c>
      <c r="V68" s="9" t="n">
        <v>725</v>
      </c>
      <c r="W68" s="10" t="n">
        <v>3.46410161513775</v>
      </c>
      <c r="X68" s="9" t="n">
        <v>2044</v>
      </c>
      <c r="Y68" s="11" t="n">
        <v>3</v>
      </c>
      <c r="Z68" s="1" t="n">
        <v>0.493</v>
      </c>
      <c r="AA68" s="1" t="n">
        <v>15.1</v>
      </c>
      <c r="AB68" s="1" t="n">
        <v>1</v>
      </c>
      <c r="AC68" s="9" t="n">
        <v>248</v>
      </c>
      <c r="AD68" s="13"/>
      <c r="AE68" s="14" t="n">
        <v>10.9</v>
      </c>
      <c r="AF68" s="14" t="n">
        <v>0.587</v>
      </c>
      <c r="AG68" s="15" t="n">
        <v>4</v>
      </c>
      <c r="AH68" s="1" t="n">
        <v>28.4705882352941</v>
      </c>
      <c r="AI68" s="14" t="n">
        <v>125.032403012154</v>
      </c>
      <c r="AJ68" s="14" t="n">
        <v>102.044852445527</v>
      </c>
      <c r="AK68" s="14" t="n">
        <v>59.3508429112055</v>
      </c>
      <c r="AL68" s="13" t="n">
        <v>0.708</v>
      </c>
      <c r="AM68" s="16" t="n">
        <v>9</v>
      </c>
      <c r="AN68" s="14" t="n">
        <v>29.1</v>
      </c>
      <c r="AO68" s="17" t="n">
        <v>0.5845</v>
      </c>
      <c r="AP68" s="18" t="n">
        <v>12.6</v>
      </c>
      <c r="AQ68" s="14" t="n">
        <v>29.13</v>
      </c>
      <c r="AR68" s="19" t="n">
        <v>0.547169811320755</v>
      </c>
      <c r="AS68" s="19" t="n">
        <v>0.378</v>
      </c>
      <c r="AT68" s="14" t="n">
        <v>94.29</v>
      </c>
    </row>
    <row r="69" customFormat="false" ht="12.75" hidden="false" customHeight="false" outlineLevel="0" collapsed="false">
      <c r="A69" s="1" t="s">
        <v>87</v>
      </c>
      <c r="B69" s="1" t="n">
        <v>1233</v>
      </c>
      <c r="C69" s="1"/>
      <c r="D69" s="1" t="n">
        <v>15</v>
      </c>
      <c r="E69" s="1" t="n">
        <v>2635</v>
      </c>
      <c r="F69" s="1" t="n">
        <v>6</v>
      </c>
      <c r="G69" s="1" t="n">
        <v>4</v>
      </c>
      <c r="H69" s="9" t="n">
        <v>-2.72</v>
      </c>
      <c r="I69" s="1" t="n">
        <v>110.3</v>
      </c>
      <c r="J69" s="1" t="n">
        <v>107.4</v>
      </c>
      <c r="K69" s="0" t="n">
        <f aca="false">I69-J69</f>
        <v>2.89999999999999</v>
      </c>
      <c r="L69" s="1" t="n">
        <v>0.667</v>
      </c>
      <c r="M69" s="1" t="n">
        <v>0.96</v>
      </c>
      <c r="N69" s="1" t="n">
        <v>452</v>
      </c>
      <c r="O69" s="1" t="n">
        <v>11.7</v>
      </c>
      <c r="P69" s="8" t="n">
        <v>0.606</v>
      </c>
      <c r="Q69" s="1" t="n">
        <v>1117</v>
      </c>
      <c r="R69" s="1" t="n">
        <v>526</v>
      </c>
      <c r="S69" s="0" t="n">
        <f aca="false">ROUND(E69/33, 1)</f>
        <v>79.8</v>
      </c>
      <c r="T69" s="1" t="n">
        <v>76.2</v>
      </c>
      <c r="U69" s="8" t="n">
        <v>571</v>
      </c>
      <c r="V69" s="9" t="n">
        <v>822</v>
      </c>
      <c r="W69" s="10" t="n">
        <v>0</v>
      </c>
      <c r="X69" s="9" t="n">
        <v>2016</v>
      </c>
      <c r="Y69" s="11" t="n">
        <v>0</v>
      </c>
      <c r="Z69" s="1" t="n">
        <v>0.462</v>
      </c>
      <c r="AA69" s="1" t="n">
        <v>3.7</v>
      </c>
      <c r="AB69" s="1" t="n">
        <v>0</v>
      </c>
      <c r="AC69" s="9" t="n">
        <v>224</v>
      </c>
      <c r="AD69" s="13"/>
      <c r="AE69" s="14" t="n">
        <v>-2.39</v>
      </c>
      <c r="AF69" s="14" t="n">
        <v>0.571</v>
      </c>
      <c r="AG69" s="15" t="n">
        <v>142.1111111</v>
      </c>
      <c r="AH69" s="1" t="n">
        <v>25.1470588235294</v>
      </c>
      <c r="AI69" s="14" t="n">
        <v>114.82189583522</v>
      </c>
      <c r="AJ69" s="14" t="n">
        <v>109.541688421342</v>
      </c>
      <c r="AK69" s="14" t="n">
        <v>57.7326723240868</v>
      </c>
      <c r="AL69" s="13" t="n">
        <v>0.739</v>
      </c>
      <c r="AM69" s="16" t="n">
        <v>47</v>
      </c>
      <c r="AN69" s="14" t="n">
        <v>2.9</v>
      </c>
      <c r="AO69" s="17" t="n">
        <v>0.4968</v>
      </c>
      <c r="AP69" s="18" t="n">
        <v>11.7</v>
      </c>
      <c r="AQ69" s="14" t="n">
        <v>2.88</v>
      </c>
      <c r="AR69" s="19" t="n">
        <v>0.611152416356877</v>
      </c>
      <c r="AS69" s="19" t="n">
        <v>0.388</v>
      </c>
      <c r="AT69" s="14" t="n">
        <v>74.51</v>
      </c>
    </row>
    <row r="70" customFormat="false" ht="12.75" hidden="false" customHeight="false" outlineLevel="0" collapsed="false">
      <c r="M70" s="1"/>
      <c r="Y70" s="1"/>
    </row>
    <row r="71" customFormat="false" ht="12.75" hidden="false" customHeight="false" outlineLevel="0" collapsed="false">
      <c r="O71" s="1" t="s">
        <v>88</v>
      </c>
      <c r="P71" s="1" t="s">
        <v>89</v>
      </c>
      <c r="Q71" s="1" t="s">
        <v>89</v>
      </c>
      <c r="R71" s="1" t="s">
        <v>89</v>
      </c>
      <c r="S71" s="1" t="s">
        <v>89</v>
      </c>
    </row>
    <row r="72" customFormat="false" ht="12.75" hidden="false" customHeight="false" outlineLevel="0" collapsed="false">
      <c r="E72" s="1" t="s">
        <v>89</v>
      </c>
      <c r="G72" s="1" t="s">
        <v>89</v>
      </c>
      <c r="H72" s="1" t="s">
        <v>89</v>
      </c>
      <c r="I72" s="1" t="s">
        <v>90</v>
      </c>
    </row>
    <row r="73" customFormat="false" ht="12.75" hidden="false" customHeight="false" outlineLevel="0" collapsed="false">
      <c r="C73" s="1"/>
      <c r="D73" s="1" t="s">
        <v>91</v>
      </c>
      <c r="E73" s="1" t="s">
        <v>92</v>
      </c>
      <c r="I73" s="1" t="s">
        <v>89</v>
      </c>
    </row>
    <row r="74" customFormat="false" ht="12.75" hidden="false" customHeight="false" outlineLevel="0" collapsed="false">
      <c r="C74" s="1"/>
      <c r="D74" s="1" t="s">
        <v>93</v>
      </c>
      <c r="G74" s="1" t="s">
        <v>89</v>
      </c>
      <c r="I74" s="1" t="s">
        <v>89</v>
      </c>
    </row>
    <row r="76" customFormat="false" ht="12.75" hidden="false" customHeight="false" outlineLevel="0" collapsed="false">
      <c r="A76" s="1" t="s">
        <v>89</v>
      </c>
      <c r="C76" s="1"/>
      <c r="D76" s="1" t="s">
        <v>89</v>
      </c>
      <c r="E76" s="1" t="s">
        <v>89</v>
      </c>
      <c r="F76" s="1" t="s">
        <v>89</v>
      </c>
      <c r="H76" s="1" t="s">
        <v>89</v>
      </c>
      <c r="J76" s="1" t="s">
        <v>89</v>
      </c>
      <c r="K76" s="1" t="s">
        <v>89</v>
      </c>
    </row>
  </sheetData>
  <conditionalFormatting sqref="AC1:AT1">
    <cfRule type="expression" priority="2" aboveAverage="0" equalAverage="0" bottom="0" percent="0" rank="0" text="" dxfId="0">
      <formula>LEN(TRIM(AC1))&gt;0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RowHeight="12.75" zeroHeight="false" outlineLevelRow="0" outlineLevelCol="0"/>
  <cols>
    <col collapsed="false" customWidth="true" hidden="false" outlineLevel="0" max="1" min="1" style="0" width="22.57"/>
    <col collapsed="false" customWidth="true" hidden="false" outlineLevel="0" max="21" min="2" style="0" width="17.29"/>
    <col collapsed="false" customWidth="true" hidden="false" outlineLevel="0" max="1025" min="22" style="0" width="14.43"/>
  </cols>
  <sheetData>
    <row r="1" customFormat="false" ht="12.75" hidden="false" customHeight="false" outlineLevel="0" collapsed="false">
      <c r="A1" s="1" t="s">
        <v>2</v>
      </c>
      <c r="B1" s="1" t="s">
        <v>604</v>
      </c>
      <c r="C1" s="1" t="s">
        <v>213</v>
      </c>
      <c r="D1" s="1" t="s">
        <v>605</v>
      </c>
      <c r="E1" s="1" t="s">
        <v>473</v>
      </c>
      <c r="F1" s="1" t="s">
        <v>498</v>
      </c>
      <c r="G1" s="1" t="s">
        <v>606</v>
      </c>
      <c r="H1" s="1" t="s">
        <v>607</v>
      </c>
      <c r="I1" s="1" t="s">
        <v>444</v>
      </c>
      <c r="J1" s="1" t="s">
        <v>445</v>
      </c>
      <c r="K1" s="1" t="s">
        <v>474</v>
      </c>
      <c r="L1" s="1" t="s">
        <v>475</v>
      </c>
      <c r="M1" s="1" t="s">
        <v>446</v>
      </c>
      <c r="N1" s="1" t="s">
        <v>447</v>
      </c>
      <c r="O1" s="1" t="s">
        <v>448</v>
      </c>
      <c r="P1" s="1" t="s">
        <v>476</v>
      </c>
      <c r="Q1" s="1" t="s">
        <v>16</v>
      </c>
      <c r="R1" s="1" t="s">
        <v>451</v>
      </c>
      <c r="S1" s="1" t="s">
        <v>515</v>
      </c>
      <c r="T1" s="1" t="s">
        <v>453</v>
      </c>
      <c r="U1" s="1" t="s">
        <v>608</v>
      </c>
    </row>
    <row r="2" customFormat="false" ht="12.75" hidden="false" customHeight="false" outlineLevel="0" collapsed="false">
      <c r="A2" s="1" t="s">
        <v>609</v>
      </c>
      <c r="B2" s="1" t="s">
        <v>610</v>
      </c>
      <c r="C2" s="1" t="n">
        <v>0</v>
      </c>
      <c r="D2" s="1" t="n">
        <v>0.542</v>
      </c>
      <c r="E2" s="1" t="n">
        <v>0.719</v>
      </c>
      <c r="F2" s="1" t="n">
        <v>7</v>
      </c>
      <c r="G2" s="1" t="n">
        <v>1</v>
      </c>
      <c r="H2" s="1" t="n">
        <v>0</v>
      </c>
      <c r="I2" s="1" t="n">
        <v>0</v>
      </c>
      <c r="J2" s="1" t="n">
        <v>1</v>
      </c>
      <c r="K2" s="1" t="n">
        <v>75.8</v>
      </c>
      <c r="L2" s="1" t="n">
        <v>69.5</v>
      </c>
      <c r="M2" s="1" t="n">
        <v>1</v>
      </c>
      <c r="N2" s="25" t="n">
        <v>15.8</v>
      </c>
      <c r="P2" s="1" t="n">
        <f aca="false">200/2530</f>
        <v>0.0790513834</v>
      </c>
      <c r="Q2" s="1" t="n">
        <v>0.709</v>
      </c>
      <c r="U2" s="1" t="n">
        <f aca="false">K2-L2</f>
        <v>6.3</v>
      </c>
    </row>
    <row r="3" customFormat="false" ht="12.75" hidden="false" customHeight="false" outlineLevel="0" collapsed="false">
      <c r="A3" s="1" t="s">
        <v>26</v>
      </c>
      <c r="B3" s="1" t="s">
        <v>610</v>
      </c>
      <c r="C3" s="1" t="n">
        <v>1</v>
      </c>
      <c r="D3" s="1" t="n">
        <v>0.632</v>
      </c>
      <c r="E3" s="1" t="n">
        <v>0.794</v>
      </c>
      <c r="F3" s="1" t="n">
        <v>7</v>
      </c>
      <c r="G3" s="1" t="n">
        <v>0</v>
      </c>
      <c r="H3" s="1" t="n">
        <v>1</v>
      </c>
      <c r="I3" s="1" t="n">
        <v>9</v>
      </c>
      <c r="J3" s="1" t="n">
        <v>3</v>
      </c>
      <c r="K3" s="1" t="n">
        <v>76.4</v>
      </c>
      <c r="L3" s="1" t="n">
        <v>67.2</v>
      </c>
      <c r="M3" s="1" t="n">
        <v>3</v>
      </c>
      <c r="N3" s="25" t="n">
        <v>15.1</v>
      </c>
      <c r="P3" s="1" t="n">
        <f aca="false">155/2599</f>
        <v>0.05963832243</v>
      </c>
      <c r="Q3" s="1" t="n">
        <v>0.73</v>
      </c>
      <c r="U3" s="1" t="n">
        <f aca="false">K3-L3</f>
        <v>9.2</v>
      </c>
    </row>
    <row r="4" customFormat="false" ht="12.75" hidden="false" customHeight="false" outlineLevel="0" collapsed="false">
      <c r="A4" s="1" t="s">
        <v>67</v>
      </c>
      <c r="B4" s="1" t="s">
        <v>610</v>
      </c>
      <c r="C4" s="1" t="n">
        <v>0</v>
      </c>
      <c r="E4" s="1" t="n">
        <v>0.559</v>
      </c>
      <c r="F4" s="1" t="n">
        <v>6</v>
      </c>
      <c r="G4" s="1" t="n">
        <v>1</v>
      </c>
      <c r="H4" s="1" t="n">
        <v>1</v>
      </c>
      <c r="I4" s="1" t="n">
        <v>5</v>
      </c>
      <c r="J4" s="1" t="n">
        <v>8</v>
      </c>
      <c r="K4" s="1" t="n">
        <v>74.4</v>
      </c>
      <c r="L4" s="1" t="n">
        <v>69.8</v>
      </c>
      <c r="M4" s="1" t="n">
        <v>2</v>
      </c>
      <c r="N4" s="25" t="n">
        <v>14.5</v>
      </c>
      <c r="P4" s="1" t="n">
        <f aca="false">292/2529</f>
        <v>0.1154606564</v>
      </c>
      <c r="Q4" s="1" t="n">
        <v>0.603</v>
      </c>
      <c r="U4" s="1" t="n">
        <f aca="false">K4-L4</f>
        <v>4.60000000000001</v>
      </c>
    </row>
    <row r="5" customFormat="false" ht="12.75" hidden="false" customHeight="false" outlineLevel="0" collapsed="false">
      <c r="A5" s="1" t="s">
        <v>77</v>
      </c>
      <c r="B5" s="1" t="s">
        <v>610</v>
      </c>
      <c r="C5" s="1" t="n">
        <v>1</v>
      </c>
      <c r="E5" s="1" t="n">
        <v>0.697</v>
      </c>
      <c r="F5" s="1" t="n">
        <v>6</v>
      </c>
      <c r="G5" s="1" t="n">
        <v>0</v>
      </c>
      <c r="H5" s="1" t="n">
        <v>0</v>
      </c>
      <c r="I5" s="1" t="n">
        <v>5</v>
      </c>
      <c r="J5" s="1" t="n">
        <v>7</v>
      </c>
      <c r="K5" s="1" t="n">
        <v>70.2</v>
      </c>
      <c r="L5" s="1" t="n">
        <v>64.8</v>
      </c>
      <c r="M5" s="1" t="n">
        <v>2</v>
      </c>
      <c r="N5" s="1" t="n">
        <v>13.2</v>
      </c>
      <c r="P5" s="1" t="n">
        <f aca="false">227/2423</f>
        <v>0.09368551383</v>
      </c>
      <c r="Q5" s="1" t="n">
        <v>0.655</v>
      </c>
      <c r="U5" s="1" t="n">
        <f aca="false">K5-L5</f>
        <v>5.40000000000001</v>
      </c>
    </row>
    <row r="6" customFormat="false" ht="12.75" hidden="false" customHeight="false" outlineLevel="0" collapsed="false">
      <c r="A6" s="1" t="s">
        <v>611</v>
      </c>
      <c r="B6" s="1" t="s">
        <v>610</v>
      </c>
      <c r="C6" s="1" t="n">
        <v>0</v>
      </c>
      <c r="D6" s="1" t="n">
        <v>0.572</v>
      </c>
      <c r="E6" s="1" t="n">
        <v>0.7</v>
      </c>
      <c r="F6" s="1" t="n">
        <v>8</v>
      </c>
      <c r="G6" s="1" t="n">
        <v>1</v>
      </c>
      <c r="H6" s="1" t="n">
        <v>0</v>
      </c>
      <c r="I6" s="1" t="n">
        <v>3</v>
      </c>
      <c r="J6" s="1" t="n">
        <v>1</v>
      </c>
      <c r="K6" s="1" t="n">
        <v>73.3</v>
      </c>
      <c r="L6" s="1" t="n">
        <v>68.6</v>
      </c>
      <c r="M6" s="1" t="n">
        <v>1</v>
      </c>
      <c r="N6" s="1" t="n">
        <v>13.7</v>
      </c>
      <c r="P6" s="1" t="n">
        <f aca="false">215/2300</f>
        <v>0.09347826087</v>
      </c>
      <c r="Q6" s="1" t="n">
        <v>0.612</v>
      </c>
      <c r="U6" s="1" t="n">
        <f aca="false">K6-L6</f>
        <v>4.7</v>
      </c>
    </row>
    <row r="7" customFormat="false" ht="12.75" hidden="false" customHeight="false" outlineLevel="0" collapsed="false">
      <c r="A7" s="1" t="s">
        <v>68</v>
      </c>
      <c r="B7" s="1" t="s">
        <v>610</v>
      </c>
      <c r="C7" s="1" t="n">
        <v>0</v>
      </c>
      <c r="D7" s="1" t="n">
        <v>0.573</v>
      </c>
      <c r="E7" s="1" t="n">
        <v>0.742</v>
      </c>
      <c r="F7" s="1" t="n">
        <v>10</v>
      </c>
      <c r="G7" s="1" t="n">
        <v>1</v>
      </c>
      <c r="H7" s="1" t="n">
        <v>0</v>
      </c>
      <c r="I7" s="1" t="n">
        <v>1</v>
      </c>
      <c r="J7" s="1" t="n">
        <v>2</v>
      </c>
      <c r="K7" s="1" t="n">
        <v>68</v>
      </c>
      <c r="L7" s="1" t="n">
        <v>55.7</v>
      </c>
      <c r="M7" s="1" t="n">
        <v>2</v>
      </c>
      <c r="N7" s="1" t="n">
        <v>12.1</v>
      </c>
      <c r="P7" s="1" t="n">
        <f aca="false">153/2107</f>
        <v>0.07261509255</v>
      </c>
      <c r="Q7" s="1" t="n">
        <v>0.659</v>
      </c>
      <c r="U7" s="1" t="n">
        <f aca="false">K7-L7</f>
        <v>12.3</v>
      </c>
    </row>
    <row r="8" customFormat="false" ht="12.75" hidden="false" customHeight="false" outlineLevel="0" collapsed="false">
      <c r="A8" s="1" t="s">
        <v>585</v>
      </c>
      <c r="B8" s="1" t="s">
        <v>610</v>
      </c>
      <c r="C8" s="1" t="n">
        <v>0</v>
      </c>
      <c r="D8" s="1" t="n">
        <v>0.54</v>
      </c>
      <c r="E8" s="1" t="n">
        <v>0.806</v>
      </c>
      <c r="F8" s="1" t="n">
        <v>6</v>
      </c>
      <c r="G8" s="1" t="n">
        <v>1</v>
      </c>
      <c r="H8" s="1" t="n">
        <v>0</v>
      </c>
      <c r="I8" s="1" t="n">
        <v>0</v>
      </c>
      <c r="J8" s="1" t="n">
        <v>0</v>
      </c>
      <c r="K8" s="1" t="n">
        <v>73.6</v>
      </c>
      <c r="L8" s="1" t="n">
        <v>63.6</v>
      </c>
      <c r="M8" s="1" t="n">
        <v>1</v>
      </c>
      <c r="N8" s="25" t="n">
        <v>15.5</v>
      </c>
      <c r="P8" s="1" t="n">
        <f aca="false">148/2282</f>
        <v>0.06485539001</v>
      </c>
      <c r="Q8" s="1" t="n">
        <v>0.707</v>
      </c>
      <c r="U8" s="1" t="n">
        <f aca="false">K8-L8</f>
        <v>10</v>
      </c>
    </row>
    <row r="9" customFormat="false" ht="12.75" hidden="false" customHeight="false" outlineLevel="0" collapsed="false">
      <c r="A9" s="1" t="s">
        <v>34</v>
      </c>
      <c r="B9" s="1" t="s">
        <v>610</v>
      </c>
      <c r="C9" s="1" t="n">
        <v>1</v>
      </c>
      <c r="D9" s="1" t="n">
        <v>0.654</v>
      </c>
      <c r="E9" s="1" t="n">
        <v>0.879</v>
      </c>
      <c r="F9" s="1" t="n">
        <v>8</v>
      </c>
      <c r="G9" s="1" t="n">
        <v>0</v>
      </c>
      <c r="H9" s="1" t="n">
        <v>0</v>
      </c>
      <c r="I9" s="1" t="n">
        <v>11</v>
      </c>
      <c r="J9" s="1" t="n">
        <v>2</v>
      </c>
      <c r="K9" s="1" t="n">
        <v>77.6</v>
      </c>
      <c r="L9" s="1" t="n">
        <v>61.5</v>
      </c>
      <c r="M9" s="1" t="n">
        <v>3</v>
      </c>
      <c r="N9" s="25" t="n">
        <v>13.5</v>
      </c>
      <c r="P9" s="1" t="n">
        <f aca="false">165/2560</f>
        <v>0.064453125</v>
      </c>
      <c r="Q9" s="1" t="n">
        <v>0.701</v>
      </c>
      <c r="U9" s="1" t="n">
        <f aca="false">K9-L9</f>
        <v>16.1</v>
      </c>
    </row>
    <row r="10" customFormat="false" ht="12.75" hidden="false" customHeight="false" outlineLevel="0" collapsed="false">
      <c r="A10" s="1" t="s">
        <v>182</v>
      </c>
      <c r="B10" s="1" t="s">
        <v>610</v>
      </c>
      <c r="C10" s="1" t="n">
        <v>1</v>
      </c>
      <c r="D10" s="1" t="n">
        <v>0.615</v>
      </c>
      <c r="E10" s="1" t="n">
        <v>0.714</v>
      </c>
      <c r="F10" s="1" t="n">
        <v>7</v>
      </c>
      <c r="G10" s="1" t="n">
        <v>0</v>
      </c>
      <c r="H10" s="1" t="n">
        <v>1</v>
      </c>
      <c r="I10" s="1" t="n">
        <v>7</v>
      </c>
      <c r="J10" s="1" t="n">
        <v>6</v>
      </c>
      <c r="K10" s="1" t="n">
        <v>74.6</v>
      </c>
      <c r="L10" s="1" t="n">
        <v>65.3</v>
      </c>
      <c r="M10" s="1" t="n">
        <v>3</v>
      </c>
      <c r="N10" s="25" t="n">
        <v>14.1</v>
      </c>
      <c r="P10" s="1" t="n">
        <f aca="false">184/2611</f>
        <v>0.07047108388</v>
      </c>
      <c r="Q10" s="1" t="n">
        <v>0.728</v>
      </c>
      <c r="U10" s="1" t="n">
        <f aca="false">K10-L10</f>
        <v>9.3</v>
      </c>
    </row>
    <row r="11" customFormat="false" ht="12.75" hidden="false" customHeight="false" outlineLevel="0" collapsed="false">
      <c r="A11" s="1" t="s">
        <v>22</v>
      </c>
      <c r="B11" s="1" t="s">
        <v>610</v>
      </c>
      <c r="C11" s="1" t="n">
        <v>0</v>
      </c>
      <c r="D11" s="1" t="n">
        <v>0.56</v>
      </c>
      <c r="E11" s="1" t="n">
        <v>0.697</v>
      </c>
      <c r="F11" s="1" t="n">
        <v>7</v>
      </c>
      <c r="G11" s="1" t="n">
        <v>1</v>
      </c>
      <c r="H11" s="1" t="n">
        <v>0</v>
      </c>
      <c r="I11" s="1" t="n">
        <v>2</v>
      </c>
      <c r="J11" s="1" t="n">
        <v>2</v>
      </c>
      <c r="K11" s="1" t="n">
        <v>73</v>
      </c>
      <c r="L11" s="1" t="n">
        <v>66.4</v>
      </c>
      <c r="M11" s="1" t="n">
        <v>1</v>
      </c>
      <c r="N11" s="1" t="n">
        <v>14.6</v>
      </c>
      <c r="P11" s="1" t="n">
        <f aca="false">289/2410</f>
        <v>0.1199170124</v>
      </c>
      <c r="Q11" s="1" t="n">
        <v>0.72</v>
      </c>
      <c r="U11" s="1" t="n">
        <f aca="false">K11-L11</f>
        <v>6.59999999999999</v>
      </c>
    </row>
    <row r="12" customFormat="false" ht="12.75" hidden="false" customHeight="false" outlineLevel="0" collapsed="false">
      <c r="A12" s="1" t="s">
        <v>103</v>
      </c>
      <c r="B12" s="1" t="s">
        <v>610</v>
      </c>
      <c r="C12" s="1" t="n">
        <v>0</v>
      </c>
      <c r="D12" s="1" t="n">
        <v>0.566</v>
      </c>
      <c r="E12" s="1" t="n">
        <v>0.71</v>
      </c>
      <c r="F12" s="1" t="n">
        <v>5</v>
      </c>
      <c r="G12" s="1" t="n">
        <v>0</v>
      </c>
      <c r="H12" s="1" t="n">
        <v>0</v>
      </c>
      <c r="I12" s="1" t="n">
        <v>4</v>
      </c>
      <c r="J12" s="1" t="n">
        <v>3</v>
      </c>
      <c r="K12" s="1" t="n">
        <v>71.4</v>
      </c>
      <c r="L12" s="1" t="n">
        <v>64.9</v>
      </c>
      <c r="M12" s="1" t="n">
        <v>1</v>
      </c>
      <c r="N12" s="1" t="n">
        <v>13.8</v>
      </c>
      <c r="P12" s="1" t="n">
        <f aca="false">218/2214</f>
        <v>0.09846431798</v>
      </c>
      <c r="Q12" s="1" t="n">
        <v>0.713</v>
      </c>
      <c r="U12" s="1" t="n">
        <f aca="false">K12-L12</f>
        <v>6.5</v>
      </c>
    </row>
    <row r="13" customFormat="false" ht="12.75" hidden="false" customHeight="false" outlineLevel="0" collapsed="false">
      <c r="A13" s="1" t="s">
        <v>569</v>
      </c>
      <c r="B13" s="1" t="s">
        <v>610</v>
      </c>
      <c r="C13" s="1" t="n">
        <v>0</v>
      </c>
      <c r="D13" s="1" t="n">
        <v>0.566</v>
      </c>
      <c r="E13" s="1" t="n">
        <v>0.636</v>
      </c>
      <c r="F13" s="1" t="n">
        <v>6</v>
      </c>
      <c r="G13" s="1" t="n">
        <v>0</v>
      </c>
      <c r="H13" s="1" t="n">
        <v>0</v>
      </c>
      <c r="I13" s="1" t="n">
        <v>3</v>
      </c>
      <c r="J13" s="1" t="n">
        <v>9</v>
      </c>
      <c r="K13" s="1" t="n">
        <v>71</v>
      </c>
      <c r="L13" s="1" t="n">
        <v>64.2</v>
      </c>
      <c r="M13" s="1" t="n">
        <v>1</v>
      </c>
      <c r="N13" s="1" t="n">
        <v>16.2</v>
      </c>
      <c r="P13" s="1" t="n">
        <f aca="false">195/2387</f>
        <v>0.08169250105</v>
      </c>
      <c r="Q13" s="1" t="n">
        <v>0.669</v>
      </c>
      <c r="U13" s="1" t="n">
        <f aca="false">K13-L13</f>
        <v>6.8</v>
      </c>
    </row>
    <row r="14" customFormat="false" ht="12.75" hidden="false" customHeight="false" outlineLevel="0" collapsed="false">
      <c r="A14" s="1" t="s">
        <v>86</v>
      </c>
      <c r="B14" s="1" t="s">
        <v>610</v>
      </c>
      <c r="C14" s="1" t="n">
        <v>2</v>
      </c>
      <c r="D14" s="1" t="n">
        <v>0.635</v>
      </c>
      <c r="E14" s="1" t="n">
        <v>0.853</v>
      </c>
      <c r="F14" s="1" t="n">
        <v>9</v>
      </c>
      <c r="G14" s="1" t="n">
        <v>1</v>
      </c>
      <c r="H14" s="1" t="n">
        <v>1</v>
      </c>
      <c r="I14" s="1" t="n">
        <v>6</v>
      </c>
      <c r="J14" s="1" t="n">
        <v>4</v>
      </c>
      <c r="K14" s="1" t="n">
        <v>88</v>
      </c>
      <c r="L14" s="1" t="n">
        <v>71.3</v>
      </c>
      <c r="M14" s="1" t="n">
        <v>3</v>
      </c>
      <c r="N14" s="1" t="n">
        <v>14.1</v>
      </c>
      <c r="O14" s="1" t="s">
        <v>612</v>
      </c>
      <c r="P14" s="67" t="n">
        <f aca="false">284/2992</f>
        <v>0.0949197861</v>
      </c>
      <c r="Q14" s="1" t="n">
        <v>0.742</v>
      </c>
      <c r="U14" s="1" t="n">
        <f aca="false">K14-L14</f>
        <v>16.7</v>
      </c>
    </row>
    <row r="15" customFormat="false" ht="12.75" hidden="false" customHeight="false" outlineLevel="0" collapsed="false">
      <c r="A15" s="1" t="s">
        <v>62</v>
      </c>
      <c r="B15" s="1" t="s">
        <v>610</v>
      </c>
      <c r="C15" s="1" t="n">
        <v>5</v>
      </c>
      <c r="E15" s="1" t="n">
        <v>0.784</v>
      </c>
      <c r="F15" s="1" t="n">
        <v>7</v>
      </c>
      <c r="G15" s="1" t="n">
        <v>0</v>
      </c>
      <c r="H15" s="1" t="n">
        <v>1</v>
      </c>
      <c r="I15" s="1" t="n">
        <v>6</v>
      </c>
      <c r="J15" s="1" t="n">
        <v>6</v>
      </c>
      <c r="K15" s="1" t="n">
        <v>83.8</v>
      </c>
      <c r="L15" s="1" t="n">
        <v>68.9</v>
      </c>
      <c r="M15" s="1" t="n">
        <v>2</v>
      </c>
      <c r="N15" s="1" t="n">
        <v>16.3</v>
      </c>
      <c r="P15" s="1" t="n">
        <f aca="false">266/3102</f>
        <v>0.0857511283</v>
      </c>
      <c r="Q15" s="1" t="n">
        <v>0.71</v>
      </c>
      <c r="U15" s="1" t="n">
        <f aca="false">K15-L15</f>
        <v>14.9</v>
      </c>
    </row>
    <row r="16" customFormat="false" ht="12.75" hidden="false" customHeight="false" outlineLevel="0" collapsed="false">
      <c r="A16" s="1" t="s">
        <v>186</v>
      </c>
      <c r="B16" s="1" t="s">
        <v>610</v>
      </c>
      <c r="C16" s="1" t="n">
        <v>0</v>
      </c>
      <c r="D16" s="1" t="n">
        <v>0.581</v>
      </c>
      <c r="E16" s="1" t="n">
        <v>0.706</v>
      </c>
      <c r="F16" s="1" t="n">
        <v>8</v>
      </c>
      <c r="G16" s="1" t="n">
        <v>1</v>
      </c>
      <c r="H16" s="1" t="n">
        <v>0</v>
      </c>
      <c r="I16" s="1" t="n">
        <v>4</v>
      </c>
      <c r="J16" s="1" t="n">
        <v>3</v>
      </c>
      <c r="K16" s="1" t="n">
        <v>82.3</v>
      </c>
      <c r="L16" s="1" t="n">
        <v>76.7</v>
      </c>
      <c r="M16" s="1" t="n">
        <v>1</v>
      </c>
      <c r="N16" s="1" t="n">
        <v>14.9</v>
      </c>
      <c r="P16" s="1" t="n">
        <f aca="false">279/2799</f>
        <v>0.09967845659</v>
      </c>
      <c r="Q16" s="1" t="n">
        <v>0.703</v>
      </c>
      <c r="U16" s="1" t="n">
        <f aca="false">K16-L16</f>
        <v>5.59999999999999</v>
      </c>
    </row>
    <row r="17" customFormat="false" ht="12.75" hidden="false" customHeight="false" outlineLevel="0" collapsed="false">
      <c r="A17" s="1" t="s">
        <v>43</v>
      </c>
      <c r="B17" s="1" t="s">
        <v>610</v>
      </c>
      <c r="C17" s="1" t="n">
        <v>2</v>
      </c>
      <c r="D17" s="1" t="n">
        <v>0.593</v>
      </c>
      <c r="E17" s="1" t="n">
        <v>0.743</v>
      </c>
      <c r="F17" s="1" t="n">
        <v>7</v>
      </c>
      <c r="G17" s="1" t="n">
        <v>1</v>
      </c>
      <c r="H17" s="1" t="n">
        <v>0</v>
      </c>
      <c r="I17" s="1" t="n">
        <v>3</v>
      </c>
      <c r="J17" s="1" t="n">
        <v>4</v>
      </c>
      <c r="K17" s="1" t="n">
        <v>77.7</v>
      </c>
      <c r="L17" s="1" t="n">
        <v>65.9</v>
      </c>
      <c r="M17" s="1" t="n">
        <v>2</v>
      </c>
      <c r="N17" s="1" t="n">
        <v>12.9</v>
      </c>
      <c r="P17" s="1" t="n">
        <f aca="false">260/2719</f>
        <v>0.09562339095</v>
      </c>
      <c r="Q17" s="1" t="n">
        <v>0.665</v>
      </c>
      <c r="U17" s="1" t="n">
        <f aca="false">K17-L17</f>
        <v>11.8</v>
      </c>
    </row>
    <row r="18" customFormat="false" ht="12.75" hidden="false" customHeight="false" outlineLevel="0" collapsed="false">
      <c r="A18" s="1" t="s">
        <v>600</v>
      </c>
      <c r="B18" s="1" t="s">
        <v>610</v>
      </c>
      <c r="C18" s="1" t="n">
        <v>0</v>
      </c>
      <c r="D18" s="1" t="n">
        <v>0.573</v>
      </c>
      <c r="E18" s="1" t="n">
        <v>0.774</v>
      </c>
      <c r="F18" s="1" t="n">
        <v>9</v>
      </c>
      <c r="G18" s="1" t="n">
        <v>1</v>
      </c>
      <c r="H18" s="1" t="n">
        <v>0</v>
      </c>
      <c r="I18" s="1" t="n">
        <v>1</v>
      </c>
      <c r="J18" s="1" t="n">
        <v>1</v>
      </c>
      <c r="K18" s="1" t="n">
        <v>74.4</v>
      </c>
      <c r="L18" s="1" t="n">
        <v>63.2</v>
      </c>
      <c r="M18" s="1" t="n">
        <v>1</v>
      </c>
      <c r="N18" s="1" t="n">
        <v>13.4</v>
      </c>
      <c r="P18" s="1" t="n">
        <f aca="false">225/2307</f>
        <v>0.09752925878</v>
      </c>
      <c r="Q18" s="1" t="n">
        <v>0.687</v>
      </c>
      <c r="U18" s="1" t="n">
        <f aca="false">K18-L18</f>
        <v>11.2</v>
      </c>
    </row>
    <row r="19" customFormat="false" ht="12.75" hidden="false" customHeight="false" outlineLevel="0" collapsed="false">
      <c r="A19" s="1" t="s">
        <v>363</v>
      </c>
      <c r="B19" s="1" t="s">
        <v>610</v>
      </c>
      <c r="C19" s="1" t="n">
        <v>1</v>
      </c>
      <c r="D19" s="1" t="n">
        <v>0.6</v>
      </c>
      <c r="E19" s="1" t="n">
        <v>0.688</v>
      </c>
      <c r="F19" s="1" t="n">
        <v>2</v>
      </c>
      <c r="G19" s="1" t="n">
        <v>0</v>
      </c>
      <c r="H19" s="1" t="n">
        <v>1</v>
      </c>
      <c r="I19" s="1" t="n">
        <v>5</v>
      </c>
      <c r="J19" s="1" t="n">
        <v>8</v>
      </c>
      <c r="K19" s="1" t="n">
        <v>75.8</v>
      </c>
      <c r="L19" s="1" t="n">
        <v>65.6</v>
      </c>
      <c r="N19" s="1" t="n">
        <v>14.3</v>
      </c>
      <c r="P19" s="1" t="n">
        <f aca="false">231/2424</f>
        <v>0.0952970297</v>
      </c>
      <c r="Q19" s="1" t="n">
        <v>0.688</v>
      </c>
      <c r="U19" s="1" t="n">
        <f aca="false">K19-L19</f>
        <v>10.2</v>
      </c>
    </row>
    <row r="20" customFormat="false" ht="12.75" hidden="false" customHeight="false" outlineLevel="0" collapsed="false">
      <c r="A20" s="1" t="s">
        <v>190</v>
      </c>
      <c r="B20" s="1" t="s">
        <v>610</v>
      </c>
      <c r="C20" s="1" t="n">
        <v>0</v>
      </c>
      <c r="D20" s="1" t="n">
        <v>0.604</v>
      </c>
      <c r="E20" s="1" t="n">
        <v>0.69</v>
      </c>
      <c r="F20" s="1" t="n">
        <v>5</v>
      </c>
      <c r="G20" s="1" t="n">
        <v>0</v>
      </c>
      <c r="H20" s="1" t="n">
        <v>1</v>
      </c>
      <c r="I20" s="1" t="n">
        <v>7</v>
      </c>
      <c r="J20" s="1" t="n">
        <v>7</v>
      </c>
      <c r="K20" s="1" t="n">
        <v>77.7</v>
      </c>
      <c r="L20" s="1" t="n">
        <v>68.4</v>
      </c>
      <c r="M20" s="1" t="n">
        <v>3</v>
      </c>
      <c r="N20" s="1" t="n">
        <v>14.5</v>
      </c>
      <c r="P20" s="1" t="n">
        <f aca="false">127/2253</f>
        <v>0.0563692854</v>
      </c>
      <c r="Q20" s="1" t="n">
        <v>0.709</v>
      </c>
      <c r="U20" s="1" t="n">
        <f aca="false">K20-L20</f>
        <v>9.3</v>
      </c>
    </row>
    <row r="21" customFormat="false" ht="12.75" hidden="false" customHeight="false" outlineLevel="0" collapsed="false">
      <c r="A21" s="1" t="s">
        <v>458</v>
      </c>
      <c r="B21" s="1" t="s">
        <v>610</v>
      </c>
      <c r="C21" s="1" t="n">
        <v>0</v>
      </c>
      <c r="D21" s="1" t="n">
        <v>0.57</v>
      </c>
      <c r="E21" s="1" t="n">
        <v>0.688</v>
      </c>
      <c r="F21" s="1" t="n">
        <v>6</v>
      </c>
      <c r="G21" s="1" t="n">
        <v>0</v>
      </c>
      <c r="H21" s="1" t="n">
        <v>0</v>
      </c>
      <c r="I21" s="1" t="n">
        <v>2</v>
      </c>
      <c r="J21" s="1" t="n">
        <v>4</v>
      </c>
      <c r="K21" s="1" t="n">
        <v>66.8</v>
      </c>
      <c r="L21" s="1" t="n">
        <v>63.4</v>
      </c>
      <c r="M21" s="1" t="n">
        <v>1</v>
      </c>
      <c r="N21" s="1" t="n">
        <v>13.1</v>
      </c>
      <c r="P21" s="1" t="n">
        <f aca="false">161/2136</f>
        <v>0.07537453184</v>
      </c>
      <c r="Q21" s="1" t="n">
        <v>0.705</v>
      </c>
      <c r="U21" s="1" t="n">
        <f aca="false">K21-L21</f>
        <v>3.4</v>
      </c>
    </row>
    <row r="22" customFormat="false" ht="12.75" hidden="false" customHeight="false" outlineLevel="0" collapsed="false">
      <c r="A22" s="1" t="s">
        <v>87</v>
      </c>
      <c r="B22" s="1" t="s">
        <v>610</v>
      </c>
      <c r="C22" s="1" t="n">
        <v>0</v>
      </c>
      <c r="D22" s="1" t="n">
        <v>0.542</v>
      </c>
      <c r="E22" s="1" t="n">
        <v>0.645</v>
      </c>
      <c r="F22" s="1" t="n">
        <v>8</v>
      </c>
      <c r="G22" s="1" t="n">
        <v>1</v>
      </c>
      <c r="H22" s="1" t="n">
        <v>0</v>
      </c>
      <c r="I22" s="1" t="n">
        <v>0</v>
      </c>
      <c r="J22" s="1" t="n">
        <v>2</v>
      </c>
      <c r="K22" s="1" t="n">
        <v>78.8</v>
      </c>
      <c r="L22" s="1" t="n">
        <v>75.9</v>
      </c>
      <c r="M22" s="1" t="n">
        <v>2</v>
      </c>
      <c r="N22" s="1" t="n">
        <v>18</v>
      </c>
      <c r="P22" s="1" t="n">
        <f aca="false">147/2443</f>
        <v>0.06017191977</v>
      </c>
      <c r="Q22" s="1" t="n">
        <v>0.725</v>
      </c>
      <c r="U22" s="1" t="n">
        <f aca="false">K22-L22</f>
        <v>2.89999999999999</v>
      </c>
    </row>
    <row r="23" customFormat="false" ht="12.75" hidden="false" customHeight="false" outlineLevel="0" collapsed="false">
      <c r="A23" s="1" t="s">
        <v>192</v>
      </c>
      <c r="B23" s="1" t="s">
        <v>610</v>
      </c>
      <c r="C23" s="1" t="n">
        <v>3</v>
      </c>
      <c r="D23" s="1" t="n">
        <v>0.64</v>
      </c>
      <c r="E23" s="1" t="n">
        <v>0.857</v>
      </c>
      <c r="F23" s="1" t="n">
        <v>9</v>
      </c>
      <c r="G23" s="1" t="n">
        <v>1</v>
      </c>
      <c r="H23" s="1" t="n">
        <v>1</v>
      </c>
      <c r="I23" s="1" t="n">
        <v>9</v>
      </c>
      <c r="J23" s="1" t="n">
        <v>2</v>
      </c>
      <c r="K23" s="1" t="n">
        <v>77.2</v>
      </c>
      <c r="L23" s="1" t="n">
        <v>65.3</v>
      </c>
      <c r="M23" s="1" t="n">
        <v>1</v>
      </c>
      <c r="N23" s="1" t="n">
        <v>14.1</v>
      </c>
      <c r="P23" s="1" t="n">
        <f aca="false">190/2898</f>
        <v>0.06556245687</v>
      </c>
      <c r="Q23" s="1" t="n">
        <v>0.703</v>
      </c>
      <c r="U23" s="1" t="n">
        <f aca="false">K23-L23</f>
        <v>11.9</v>
      </c>
    </row>
    <row r="24" customFormat="false" ht="12.75" hidden="false" customHeight="false" outlineLevel="0" collapsed="false">
      <c r="A24" s="1" t="s">
        <v>613</v>
      </c>
      <c r="B24" s="1" t="s">
        <v>610</v>
      </c>
      <c r="C24" s="1" t="n">
        <v>0</v>
      </c>
      <c r="D24" s="1" t="n">
        <v>0.465</v>
      </c>
      <c r="E24" s="1" t="n">
        <v>0.607</v>
      </c>
      <c r="F24" s="1" t="n">
        <v>7</v>
      </c>
      <c r="G24" s="1" t="n">
        <v>1</v>
      </c>
      <c r="H24" s="1" t="n">
        <v>0</v>
      </c>
      <c r="I24" s="1" t="n">
        <v>0</v>
      </c>
      <c r="J24" s="1" t="n">
        <v>1</v>
      </c>
      <c r="K24" s="1" t="n">
        <v>66.6</v>
      </c>
      <c r="L24" s="1" t="n">
        <v>68.4</v>
      </c>
      <c r="M24" s="1" t="n">
        <v>1</v>
      </c>
      <c r="N24" s="1" t="n">
        <v>17.2</v>
      </c>
      <c r="P24" s="1" t="n">
        <f aca="false">91/2205</f>
        <v>0.04126984127</v>
      </c>
      <c r="Q24" s="1" t="n">
        <v>0.639</v>
      </c>
      <c r="U24" s="1" t="n">
        <f aca="false">K24-L24</f>
        <v>-1.80000000000001</v>
      </c>
    </row>
    <row r="25" customFormat="false" ht="12.75" hidden="false" customHeight="false" outlineLevel="0" collapsed="false">
      <c r="A25" s="1" t="s">
        <v>71</v>
      </c>
      <c r="B25" s="1" t="s">
        <v>610</v>
      </c>
      <c r="C25" s="1" t="n">
        <v>1</v>
      </c>
      <c r="D25" s="1" t="n">
        <v>0.617</v>
      </c>
      <c r="E25" s="1" t="n">
        <v>0.706</v>
      </c>
      <c r="F25" s="1" t="n">
        <v>6</v>
      </c>
      <c r="G25" s="1" t="n">
        <v>0</v>
      </c>
      <c r="H25" s="1" t="n">
        <v>1</v>
      </c>
      <c r="I25" s="1" t="n">
        <v>6</v>
      </c>
      <c r="J25" s="1" t="n">
        <v>8</v>
      </c>
      <c r="K25" s="1" t="n">
        <v>78.2</v>
      </c>
      <c r="L25" s="1" t="n">
        <v>70</v>
      </c>
      <c r="M25" s="1" t="n">
        <v>3</v>
      </c>
      <c r="N25" s="1" t="n">
        <v>17.2</v>
      </c>
      <c r="P25" s="1" t="n">
        <f aca="false">159/2676</f>
        <v>0.05941704036</v>
      </c>
      <c r="Q25" s="1" t="n">
        <v>0.65</v>
      </c>
      <c r="U25" s="1" t="n">
        <f aca="false">K25-L25</f>
        <v>8.2</v>
      </c>
    </row>
    <row r="26" customFormat="false" ht="12.75" hidden="false" customHeight="false" outlineLevel="0" collapsed="false">
      <c r="A26" s="1" t="s">
        <v>24</v>
      </c>
      <c r="B26" s="1" t="s">
        <v>610</v>
      </c>
      <c r="C26" s="1" t="n">
        <v>1</v>
      </c>
      <c r="E26" s="1" t="n">
        <v>0.719</v>
      </c>
      <c r="F26" s="1" t="n">
        <v>6</v>
      </c>
      <c r="G26" s="1" t="n">
        <v>0</v>
      </c>
      <c r="H26" s="1" t="n">
        <v>0</v>
      </c>
      <c r="I26" s="1" t="n">
        <v>10</v>
      </c>
      <c r="J26" s="1" t="n">
        <v>9</v>
      </c>
      <c r="K26" s="1" t="n">
        <v>69.3</v>
      </c>
      <c r="L26" s="1" t="n">
        <v>63.5</v>
      </c>
      <c r="N26" s="1" t="n">
        <v>15</v>
      </c>
      <c r="P26" s="1" t="n">
        <f aca="false">188/2280</f>
        <v>0.08245614035</v>
      </c>
      <c r="Q26" s="1" t="n">
        <v>0.688</v>
      </c>
      <c r="U26" s="1" t="n">
        <f aca="false">K26-L26</f>
        <v>5.8</v>
      </c>
    </row>
    <row r="27" customFormat="false" ht="12.75" hidden="false" customHeight="false" outlineLevel="0" collapsed="false">
      <c r="A27" s="1" t="s">
        <v>250</v>
      </c>
      <c r="B27" s="1" t="s">
        <v>610</v>
      </c>
      <c r="C27" s="1" t="n">
        <v>0</v>
      </c>
      <c r="D27" s="1" t="n">
        <v>0.566</v>
      </c>
      <c r="E27" s="1" t="n">
        <v>0.774</v>
      </c>
      <c r="F27" s="1" t="n">
        <v>9</v>
      </c>
      <c r="G27" s="1" t="n">
        <v>1</v>
      </c>
      <c r="H27" s="1" t="n">
        <v>0</v>
      </c>
      <c r="I27" s="1" t="n">
        <v>0</v>
      </c>
      <c r="J27" s="1" t="n">
        <v>1</v>
      </c>
      <c r="K27" s="1" t="n">
        <v>73.2</v>
      </c>
      <c r="L27" s="1" t="n">
        <v>64.7</v>
      </c>
      <c r="N27" s="1" t="n">
        <v>16.1</v>
      </c>
      <c r="P27" s="1" t="n">
        <f aca="false">249/2280</f>
        <v>0.1092105263</v>
      </c>
      <c r="Q27" s="1" t="n">
        <v>0.719</v>
      </c>
      <c r="U27" s="1" t="n">
        <f aca="false">K27-L27</f>
        <v>8.5</v>
      </c>
    </row>
    <row r="28" customFormat="false" ht="12.75" hidden="false" customHeight="false" outlineLevel="0" collapsed="false">
      <c r="A28" s="1" t="s">
        <v>393</v>
      </c>
      <c r="B28" s="1" t="s">
        <v>610</v>
      </c>
      <c r="C28" s="1" t="n">
        <v>0</v>
      </c>
      <c r="D28" s="1" t="n">
        <v>0.49</v>
      </c>
      <c r="E28" s="1" t="n">
        <v>0.484</v>
      </c>
      <c r="F28" s="1" t="n">
        <v>5</v>
      </c>
      <c r="G28" s="1" t="n">
        <v>1</v>
      </c>
      <c r="H28" s="1" t="n">
        <v>0</v>
      </c>
      <c r="I28" s="1" t="n">
        <v>0</v>
      </c>
      <c r="J28" s="1" t="n">
        <v>2</v>
      </c>
      <c r="K28" s="1" t="n">
        <v>62.9</v>
      </c>
      <c r="L28" s="1" t="n">
        <v>65.2</v>
      </c>
      <c r="M28" s="1" t="n">
        <v>1</v>
      </c>
      <c r="N28" s="1" t="n">
        <v>15.6</v>
      </c>
      <c r="P28" s="1" t="n">
        <f aca="false">216/1949</f>
        <v>0.1108260646</v>
      </c>
      <c r="Q28" s="1" t="n">
        <v>0.686</v>
      </c>
      <c r="U28" s="1" t="n">
        <f aca="false">K28-L28</f>
        <v>-2.3</v>
      </c>
    </row>
    <row r="29" customFormat="false" ht="12.75" hidden="false" customHeight="false" outlineLevel="0" collapsed="false">
      <c r="A29" s="1" t="s">
        <v>562</v>
      </c>
      <c r="B29" s="1" t="s">
        <v>610</v>
      </c>
      <c r="C29" s="1" t="n">
        <v>0</v>
      </c>
      <c r="D29" s="1" t="n">
        <v>0.556</v>
      </c>
      <c r="E29" s="1" t="n">
        <v>0.735</v>
      </c>
      <c r="F29" s="1" t="n">
        <v>8</v>
      </c>
      <c r="G29" s="1" t="n">
        <v>1</v>
      </c>
      <c r="H29" s="1" t="n">
        <v>0</v>
      </c>
      <c r="I29" s="1" t="n">
        <v>2</v>
      </c>
      <c r="J29" s="1" t="n">
        <v>2</v>
      </c>
      <c r="K29" s="1" t="n">
        <v>71.7</v>
      </c>
      <c r="L29" s="1" t="n">
        <v>67.4</v>
      </c>
      <c r="M29" s="1" t="n">
        <v>1</v>
      </c>
      <c r="N29" s="25" t="n">
        <v>16.1</v>
      </c>
      <c r="P29" s="1" t="n">
        <f aca="false">200/2441</f>
        <v>0.08193363376</v>
      </c>
      <c r="Q29" s="1" t="n">
        <v>0.616</v>
      </c>
      <c r="U29" s="1" t="n">
        <f aca="false">K29-L29</f>
        <v>4.3</v>
      </c>
    </row>
    <row r="30" customFormat="false" ht="12.75" hidden="false" customHeight="false" outlineLevel="0" collapsed="false">
      <c r="A30" s="1" t="s">
        <v>109</v>
      </c>
      <c r="B30" s="1" t="s">
        <v>610</v>
      </c>
      <c r="C30" s="1" t="n">
        <v>0</v>
      </c>
      <c r="D30" s="1" t="n">
        <v>0.571</v>
      </c>
      <c r="E30" s="1" t="n">
        <v>0.613</v>
      </c>
      <c r="F30" s="1" t="n">
        <v>7</v>
      </c>
      <c r="G30" s="1" t="n">
        <v>0</v>
      </c>
      <c r="H30" s="1" t="n">
        <v>0</v>
      </c>
      <c r="I30" s="1" t="n">
        <v>6</v>
      </c>
      <c r="J30" s="1" t="n">
        <v>4</v>
      </c>
      <c r="K30" s="1" t="n">
        <v>72</v>
      </c>
      <c r="L30" s="1" t="n">
        <v>65.9</v>
      </c>
      <c r="M30" s="1" t="n">
        <v>2</v>
      </c>
      <c r="N30" s="25" t="n">
        <v>16</v>
      </c>
      <c r="P30" s="1" t="n">
        <f aca="false">165/2269</f>
        <v>0.07271925959</v>
      </c>
      <c r="Q30" s="1" t="n">
        <v>0.704</v>
      </c>
      <c r="U30" s="1" t="n">
        <f aca="false">K30-L30</f>
        <v>6.09999999999999</v>
      </c>
    </row>
    <row r="31" customFormat="false" ht="12.75" hidden="false" customHeight="false" outlineLevel="0" collapsed="false">
      <c r="A31" s="1" t="s">
        <v>251</v>
      </c>
      <c r="B31" s="1" t="s">
        <v>610</v>
      </c>
      <c r="C31" s="1" t="n">
        <v>2</v>
      </c>
      <c r="E31" s="1" t="n">
        <v>0.824</v>
      </c>
      <c r="F31" s="1" t="n">
        <v>8</v>
      </c>
      <c r="G31" s="1" t="n">
        <v>0</v>
      </c>
      <c r="H31" s="1" t="n">
        <v>1</v>
      </c>
      <c r="I31" s="1" t="n">
        <v>8</v>
      </c>
      <c r="J31" s="1" t="n">
        <v>3</v>
      </c>
      <c r="K31" s="1" t="n">
        <v>75.8</v>
      </c>
      <c r="L31" s="1" t="n">
        <v>62.7</v>
      </c>
      <c r="M31" s="1" t="n">
        <v>0</v>
      </c>
      <c r="N31" s="25" t="n">
        <v>17.5</v>
      </c>
      <c r="P31" s="1" t="n">
        <f aca="false">196/2578</f>
        <v>0.07602792863</v>
      </c>
      <c r="Q31" s="1" t="n">
        <v>0.643</v>
      </c>
      <c r="U31" s="1" t="n">
        <f aca="false">K31-L31</f>
        <v>13.1</v>
      </c>
    </row>
    <row r="32" customFormat="false" ht="12.75" hidden="false" customHeight="false" outlineLevel="0" collapsed="false">
      <c r="A32" s="25" t="s">
        <v>111</v>
      </c>
      <c r="B32" s="1" t="s">
        <v>610</v>
      </c>
      <c r="C32" s="1" t="n">
        <v>1</v>
      </c>
      <c r="D32" s="1" t="n">
        <v>0.616</v>
      </c>
      <c r="E32" s="1" t="n">
        <v>0.714</v>
      </c>
      <c r="F32" s="1" t="n">
        <v>7</v>
      </c>
      <c r="G32" s="1" t="n">
        <v>0</v>
      </c>
      <c r="H32" s="1" t="n">
        <v>0</v>
      </c>
      <c r="I32" s="1" t="n">
        <v>5</v>
      </c>
      <c r="J32" s="1" t="n">
        <v>5</v>
      </c>
      <c r="K32" s="1" t="n">
        <v>76.7</v>
      </c>
      <c r="L32" s="1" t="n">
        <v>68.2</v>
      </c>
      <c r="N32" s="1" t="n">
        <v>16.1</v>
      </c>
      <c r="P32" s="1" t="n">
        <f aca="false">195/2683</f>
        <v>0.072679836</v>
      </c>
      <c r="Q32" s="1" t="n">
        <v>0.685</v>
      </c>
      <c r="U32" s="1" t="n">
        <f aca="false">K32-L32</f>
        <v>8.5</v>
      </c>
    </row>
    <row r="33" customFormat="false" ht="12.75" hidden="false" customHeight="false" outlineLevel="0" collapsed="false">
      <c r="A33" s="1" t="s">
        <v>614</v>
      </c>
      <c r="B33" s="1" t="s">
        <v>610</v>
      </c>
      <c r="C33" s="1" t="n">
        <v>2</v>
      </c>
      <c r="D33" s="1" t="n">
        <v>0.576</v>
      </c>
      <c r="E33" s="1" t="n">
        <v>0.676</v>
      </c>
      <c r="F33" s="1" t="n">
        <v>8</v>
      </c>
      <c r="G33" s="1" t="n">
        <v>0</v>
      </c>
      <c r="H33" s="1" t="n">
        <v>1</v>
      </c>
      <c r="I33" s="1" t="n">
        <v>3</v>
      </c>
      <c r="J33" s="1" t="n">
        <v>5</v>
      </c>
      <c r="K33" s="1" t="n">
        <v>69</v>
      </c>
      <c r="L33" s="1" t="n">
        <v>62.6</v>
      </c>
      <c r="M33" s="1" t="n">
        <v>3</v>
      </c>
      <c r="N33" s="25" t="n">
        <v>14.8</v>
      </c>
      <c r="P33" s="1" t="n">
        <f aca="false">132/2346</f>
        <v>0.05626598465</v>
      </c>
      <c r="Q33" s="1" t="n">
        <v>0.748</v>
      </c>
      <c r="U33" s="1" t="n">
        <f aca="false">K33-L33</f>
        <v>6.4</v>
      </c>
    </row>
    <row r="34" customFormat="false" ht="12.75" hidden="false" customHeight="false" outlineLevel="0" collapsed="false">
      <c r="A34" s="1" t="s">
        <v>194</v>
      </c>
      <c r="B34" s="1" t="s">
        <v>610</v>
      </c>
      <c r="C34" s="1" t="n">
        <v>6</v>
      </c>
      <c r="D34" s="1" t="n">
        <v>0.653</v>
      </c>
      <c r="E34" s="1" t="n">
        <v>0.821</v>
      </c>
      <c r="F34" s="1" t="n">
        <v>10</v>
      </c>
      <c r="G34" s="1" t="n">
        <v>1</v>
      </c>
      <c r="H34" s="1" t="n">
        <v>1</v>
      </c>
      <c r="I34" s="1" t="n">
        <v>10</v>
      </c>
      <c r="J34" s="1" t="n">
        <v>6</v>
      </c>
      <c r="K34" s="1" t="n">
        <v>74.1</v>
      </c>
      <c r="L34" s="1" t="n">
        <v>58.9</v>
      </c>
      <c r="N34" s="1" t="n">
        <v>14.6</v>
      </c>
      <c r="P34" s="1" t="n">
        <f aca="false">253/2889</f>
        <v>0.08757355486</v>
      </c>
      <c r="Q34" s="1" t="n">
        <v>0.735</v>
      </c>
      <c r="U34" s="1" t="n">
        <f aca="false">K34-L34</f>
        <v>15.2</v>
      </c>
    </row>
    <row r="35" customFormat="false" ht="12.75" hidden="false" customHeight="false" outlineLevel="0" collapsed="false">
      <c r="A35" s="1" t="s">
        <v>39</v>
      </c>
      <c r="B35" s="1" t="s">
        <v>610</v>
      </c>
      <c r="C35" s="1" t="n">
        <v>0</v>
      </c>
      <c r="D35" s="1" t="n">
        <v>0.563</v>
      </c>
      <c r="E35" s="1" t="n">
        <v>0.581</v>
      </c>
      <c r="F35" s="1" t="n">
        <v>4</v>
      </c>
      <c r="G35" s="1" t="n">
        <v>0</v>
      </c>
      <c r="H35" s="1" t="n">
        <v>1</v>
      </c>
      <c r="I35" s="1" t="n">
        <v>2</v>
      </c>
      <c r="J35" s="1" t="n">
        <v>12</v>
      </c>
      <c r="K35" s="1" t="n">
        <v>74.3</v>
      </c>
      <c r="L35" s="1" t="n">
        <v>69.9</v>
      </c>
      <c r="M35" s="1" t="n">
        <v>2</v>
      </c>
      <c r="N35" s="25" t="n">
        <v>13.3</v>
      </c>
      <c r="P35" s="1" t="n">
        <f aca="false">291/2302</f>
        <v>0.1264118158</v>
      </c>
      <c r="Q35" s="1" t="n">
        <v>0.71</v>
      </c>
      <c r="U35" s="1" t="n">
        <f aca="false">K35-L35</f>
        <v>4.39999999999999</v>
      </c>
    </row>
    <row r="36" customFormat="false" ht="12.75" hidden="false" customHeight="false" outlineLevel="0" collapsed="false">
      <c r="A36" s="1" t="s">
        <v>51</v>
      </c>
      <c r="B36" s="1" t="s">
        <v>610</v>
      </c>
      <c r="C36" s="1" t="n">
        <v>4</v>
      </c>
      <c r="D36" s="1" t="n">
        <v>0.597</v>
      </c>
      <c r="E36" s="1" t="n">
        <v>0.611</v>
      </c>
      <c r="F36" s="1" t="n">
        <v>5</v>
      </c>
      <c r="G36" s="1" t="n">
        <v>0</v>
      </c>
      <c r="H36" s="1" t="n">
        <v>1</v>
      </c>
      <c r="I36" s="1" t="n">
        <v>4</v>
      </c>
      <c r="J36" s="1" t="n">
        <v>8</v>
      </c>
      <c r="K36" s="1" t="n">
        <v>75.4</v>
      </c>
      <c r="L36" s="1" t="n">
        <v>70.2</v>
      </c>
      <c r="M36" s="1" t="n">
        <v>3</v>
      </c>
      <c r="N36" s="25" t="n">
        <v>14.9</v>
      </c>
      <c r="P36" s="1" t="n">
        <f aca="false">169/2715</f>
        <v>0.06224677716</v>
      </c>
      <c r="Q36" s="1" t="n">
        <v>0.7</v>
      </c>
      <c r="U36" s="1" t="n">
        <f aca="false">K36-L36</f>
        <v>5.2</v>
      </c>
    </row>
    <row r="37" customFormat="false" ht="12.75" hidden="false" customHeight="false" outlineLevel="0" collapsed="false">
      <c r="A37" s="1" t="s">
        <v>615</v>
      </c>
      <c r="B37" s="1" t="s">
        <v>610</v>
      </c>
      <c r="C37" s="1" t="n">
        <v>0</v>
      </c>
      <c r="D37" s="1" t="n">
        <v>0.553</v>
      </c>
      <c r="E37" s="1" t="n">
        <v>0.645</v>
      </c>
      <c r="F37" s="1" t="n">
        <v>8</v>
      </c>
      <c r="G37" s="1" t="n">
        <v>1</v>
      </c>
      <c r="H37" s="1" t="n">
        <v>0</v>
      </c>
      <c r="I37" s="1" t="n">
        <v>1</v>
      </c>
      <c r="J37" s="1" t="n">
        <v>3</v>
      </c>
      <c r="K37" s="1" t="n">
        <v>72.1</v>
      </c>
      <c r="L37" s="1" t="n">
        <v>69.1</v>
      </c>
      <c r="M37" s="1" t="n">
        <v>2</v>
      </c>
      <c r="N37" s="1" t="n">
        <v>16.6</v>
      </c>
      <c r="P37" s="1" t="n">
        <f aca="false">263/2280</f>
        <v>0.1153508772</v>
      </c>
      <c r="Q37" s="1" t="n">
        <v>0.751</v>
      </c>
      <c r="U37" s="1" t="n">
        <f aca="false">K37-L37</f>
        <v>3</v>
      </c>
    </row>
    <row r="38" customFormat="false" ht="12.75" hidden="false" customHeight="false" outlineLevel="0" collapsed="false">
      <c r="A38" s="1" t="s">
        <v>41</v>
      </c>
      <c r="B38" s="1" t="s">
        <v>610</v>
      </c>
      <c r="C38" s="1" t="n">
        <v>1</v>
      </c>
      <c r="D38" s="1" t="n">
        <v>0.597</v>
      </c>
      <c r="E38" s="1" t="n">
        <v>0.767</v>
      </c>
      <c r="F38" s="1" t="n">
        <v>7</v>
      </c>
      <c r="G38" s="1" t="n">
        <v>0</v>
      </c>
      <c r="H38" s="1" t="n">
        <v>1</v>
      </c>
      <c r="I38" s="1" t="n">
        <v>7</v>
      </c>
      <c r="J38" s="1" t="n">
        <v>3</v>
      </c>
      <c r="K38" s="1" t="n">
        <v>72.7</v>
      </c>
      <c r="L38" s="1" t="n">
        <v>61.7</v>
      </c>
      <c r="M38" s="1" t="n">
        <v>2</v>
      </c>
      <c r="N38" s="25" t="n">
        <v>12.7</v>
      </c>
      <c r="P38" s="1" t="n">
        <f aca="false">145/2182</f>
        <v>0.0664527956</v>
      </c>
      <c r="Q38" s="1" t="n">
        <v>0.704</v>
      </c>
      <c r="U38" s="1" t="n">
        <f aca="false">K38-L38</f>
        <v>11</v>
      </c>
    </row>
    <row r="39" customFormat="false" ht="12.75" hidden="false" customHeight="false" outlineLevel="0" collapsed="false">
      <c r="A39" s="1" t="s">
        <v>85</v>
      </c>
      <c r="B39" s="1" t="s">
        <v>610</v>
      </c>
      <c r="C39" s="1" t="n">
        <v>1</v>
      </c>
      <c r="E39" s="1" t="n">
        <v>0.794</v>
      </c>
      <c r="F39" s="1" t="n">
        <v>7</v>
      </c>
      <c r="G39" s="1" t="n">
        <v>0</v>
      </c>
      <c r="H39" s="1" t="n">
        <v>1</v>
      </c>
      <c r="I39" s="1" t="n">
        <v>8</v>
      </c>
      <c r="J39" s="1" t="n">
        <v>5</v>
      </c>
      <c r="K39" s="1" t="n">
        <v>74.9</v>
      </c>
      <c r="L39" s="1" t="n">
        <v>62.3</v>
      </c>
      <c r="M39" s="1" t="n">
        <v>3</v>
      </c>
      <c r="N39" s="25" t="n">
        <v>12.8</v>
      </c>
      <c r="P39" s="1" t="n">
        <f aca="false">263/2546</f>
        <v>0.103299293</v>
      </c>
      <c r="Q39" s="1" t="n">
        <v>0.71</v>
      </c>
      <c r="U39" s="1" t="n">
        <f aca="false">K39-L39</f>
        <v>12.6</v>
      </c>
    </row>
    <row r="40" customFormat="false" ht="12.75" hidden="false" customHeight="false" outlineLevel="0" collapsed="false">
      <c r="A40" s="1" t="s">
        <v>258</v>
      </c>
      <c r="B40" s="1" t="s">
        <v>610</v>
      </c>
      <c r="C40" s="1" t="n">
        <v>3</v>
      </c>
      <c r="D40" s="1" t="n">
        <v>0.621</v>
      </c>
      <c r="E40" s="1" t="n">
        <v>0.794</v>
      </c>
      <c r="F40" s="1" t="n">
        <v>6</v>
      </c>
      <c r="G40" s="1" t="n">
        <v>0</v>
      </c>
      <c r="H40" s="1" t="n">
        <v>1</v>
      </c>
      <c r="I40" s="1" t="n">
        <v>7</v>
      </c>
      <c r="J40" s="1" t="n">
        <v>5</v>
      </c>
      <c r="K40" s="1" t="n">
        <v>75.6</v>
      </c>
      <c r="L40" s="1" t="n">
        <v>62.2</v>
      </c>
      <c r="M40" s="1" t="n">
        <v>3</v>
      </c>
      <c r="N40" s="1" t="n">
        <v>12.8</v>
      </c>
      <c r="P40" s="1" t="n">
        <f aca="false">216/2620</f>
        <v>0.08244274809</v>
      </c>
      <c r="Q40" s="1" t="n">
        <v>0.701</v>
      </c>
      <c r="U40" s="1" t="n">
        <f aca="false">K40-L40</f>
        <v>13.4</v>
      </c>
    </row>
    <row r="41" customFormat="false" ht="12.75" hidden="false" customHeight="false" outlineLevel="0" collapsed="false">
      <c r="A41" s="1" t="s">
        <v>123</v>
      </c>
      <c r="B41" s="1" t="s">
        <v>610</v>
      </c>
      <c r="C41" s="1" t="n">
        <v>0</v>
      </c>
      <c r="D41" s="1" t="n">
        <v>0.59</v>
      </c>
      <c r="E41" s="1" t="n">
        <v>0.733</v>
      </c>
      <c r="F41" s="1" t="n">
        <v>7</v>
      </c>
      <c r="G41" s="1" t="n">
        <v>0</v>
      </c>
      <c r="H41" s="1" t="n">
        <v>0</v>
      </c>
      <c r="I41" s="1" t="n">
        <v>4</v>
      </c>
      <c r="J41" s="1" t="n">
        <v>4</v>
      </c>
      <c r="K41" s="1" t="n">
        <v>75</v>
      </c>
      <c r="L41" s="1" t="n">
        <v>68.8</v>
      </c>
      <c r="N41" s="1" t="n">
        <v>15.4</v>
      </c>
      <c r="P41" s="1" t="n">
        <f aca="false">172/2269</f>
        <v>0.07580431908</v>
      </c>
      <c r="Q41" s="1" t="n">
        <v>0.754</v>
      </c>
      <c r="U41" s="1" t="n">
        <f aca="false">K41-L41</f>
        <v>6.2</v>
      </c>
    </row>
    <row r="42" customFormat="false" ht="12.75" hidden="false" customHeight="false" outlineLevel="0" collapsed="false">
      <c r="A42" s="1" t="s">
        <v>539</v>
      </c>
      <c r="B42" s="1" t="s">
        <v>610</v>
      </c>
      <c r="C42" s="1" t="n">
        <v>0</v>
      </c>
      <c r="D42" s="1" t="n">
        <v>0.552</v>
      </c>
      <c r="E42" s="1" t="n">
        <v>0.724</v>
      </c>
      <c r="F42" s="1" t="n">
        <v>10</v>
      </c>
      <c r="G42" s="1" t="n">
        <v>0</v>
      </c>
      <c r="H42" s="1" t="n">
        <v>1</v>
      </c>
      <c r="I42" s="1" t="n">
        <v>1</v>
      </c>
      <c r="J42" s="1" t="n">
        <v>4</v>
      </c>
      <c r="K42" s="1" t="n">
        <v>67</v>
      </c>
      <c r="L42" s="1" t="n">
        <v>60.1</v>
      </c>
      <c r="M42" s="1" t="n">
        <v>2</v>
      </c>
      <c r="N42" s="1" t="n">
        <v>12.7</v>
      </c>
      <c r="P42" s="1" t="n">
        <f aca="false">189/1942</f>
        <v>0.09732234809</v>
      </c>
      <c r="Q42" s="1" t="n">
        <v>0.644</v>
      </c>
      <c r="U42" s="1" t="n">
        <f aca="false">K42-L42</f>
        <v>6.9</v>
      </c>
    </row>
    <row r="43" customFormat="false" ht="12.75" hidden="false" customHeight="false" outlineLevel="0" collapsed="false">
      <c r="A43" s="1" t="s">
        <v>590</v>
      </c>
      <c r="B43" s="1" t="s">
        <v>610</v>
      </c>
      <c r="C43" s="1" t="n">
        <v>1</v>
      </c>
      <c r="D43" s="1" t="n">
        <v>0.577</v>
      </c>
      <c r="E43" s="1" t="n">
        <v>0.735</v>
      </c>
      <c r="F43" s="1" t="n">
        <v>8</v>
      </c>
      <c r="G43" s="1" t="n">
        <v>0</v>
      </c>
      <c r="H43" s="1" t="n">
        <v>0</v>
      </c>
      <c r="I43" s="1" t="n">
        <v>3</v>
      </c>
      <c r="J43" s="1" t="n">
        <v>5</v>
      </c>
      <c r="K43" s="1" t="n">
        <v>73</v>
      </c>
      <c r="L43" s="1" t="n">
        <v>63.2</v>
      </c>
      <c r="M43" s="1" t="n">
        <v>1</v>
      </c>
      <c r="N43" s="1" t="n">
        <v>14.8</v>
      </c>
      <c r="P43" s="1" t="n">
        <f aca="false">237/2481</f>
        <v>0.09552599758</v>
      </c>
      <c r="Q43" s="1" t="n">
        <v>0.669</v>
      </c>
      <c r="U43" s="1" t="n">
        <f aca="false">K43-L43</f>
        <v>9.8</v>
      </c>
    </row>
    <row r="44" customFormat="false" ht="12.75" hidden="false" customHeight="false" outlineLevel="0" collapsed="false">
      <c r="A44" s="1" t="s">
        <v>69</v>
      </c>
      <c r="B44" s="1" t="s">
        <v>610</v>
      </c>
      <c r="C44" s="1" t="n">
        <v>3</v>
      </c>
      <c r="D44" s="1" t="n">
        <v>0.598</v>
      </c>
      <c r="E44" s="1" t="n">
        <v>0.706</v>
      </c>
      <c r="F44" s="1" t="n">
        <v>7</v>
      </c>
      <c r="G44" s="1" t="n">
        <v>0</v>
      </c>
      <c r="H44" s="1" t="n">
        <v>1</v>
      </c>
      <c r="I44" s="1" t="n">
        <v>5</v>
      </c>
      <c r="J44" s="1" t="n">
        <v>7</v>
      </c>
      <c r="K44" s="1" t="n">
        <v>73</v>
      </c>
      <c r="L44" s="1" t="n">
        <v>65.7</v>
      </c>
      <c r="M44" s="1" t="n">
        <v>3</v>
      </c>
      <c r="N44" s="25" t="n">
        <v>14.8</v>
      </c>
      <c r="P44" s="1" t="n">
        <f aca="false">206/2505</f>
        <v>0.08223552894</v>
      </c>
      <c r="Q44" s="1" t="n">
        <v>0.684</v>
      </c>
      <c r="U44" s="1" t="n">
        <f aca="false">K44-L44</f>
        <v>7.3</v>
      </c>
    </row>
    <row r="45" customFormat="false" ht="12.75" hidden="false" customHeight="false" outlineLevel="0" collapsed="false">
      <c r="A45" s="1" t="s">
        <v>333</v>
      </c>
      <c r="B45" s="1" t="s">
        <v>610</v>
      </c>
      <c r="C45" s="1" t="n">
        <v>0</v>
      </c>
      <c r="D45" s="1" t="n">
        <v>0.568</v>
      </c>
      <c r="E45" s="1" t="n">
        <v>0.576</v>
      </c>
      <c r="F45" s="1" t="n">
        <v>5</v>
      </c>
      <c r="G45" s="1" t="n">
        <v>1</v>
      </c>
      <c r="H45" s="1" t="n">
        <v>0</v>
      </c>
      <c r="I45" s="1" t="n">
        <v>6</v>
      </c>
      <c r="J45" s="1" t="n">
        <v>5</v>
      </c>
      <c r="K45" s="1" t="n">
        <v>64.4</v>
      </c>
      <c r="L45" s="1" t="n">
        <v>63.8</v>
      </c>
      <c r="N45" s="1" t="n">
        <v>17.8</v>
      </c>
      <c r="P45" s="1" t="n">
        <f aca="false">146/2124</f>
        <v>0.06873822976</v>
      </c>
      <c r="Q45" s="1" t="n">
        <v>0.686</v>
      </c>
      <c r="U45" s="1" t="n">
        <f aca="false">K45-L45</f>
        <v>0.600000000000009</v>
      </c>
    </row>
    <row r="46" customFormat="false" ht="12.75" hidden="false" customHeight="false" outlineLevel="0" collapsed="false">
      <c r="A46" s="1" t="s">
        <v>616</v>
      </c>
      <c r="B46" s="1" t="s">
        <v>610</v>
      </c>
      <c r="C46" s="1" t="n">
        <v>0</v>
      </c>
      <c r="D46" s="1" t="n">
        <v>0.512</v>
      </c>
      <c r="E46" s="1" t="n">
        <v>0.633</v>
      </c>
      <c r="F46" s="1" t="n">
        <v>8</v>
      </c>
      <c r="G46" s="1" t="n">
        <v>1</v>
      </c>
      <c r="H46" s="1" t="n">
        <v>0</v>
      </c>
      <c r="I46" s="1" t="n">
        <v>1</v>
      </c>
      <c r="J46" s="1" t="n">
        <v>1</v>
      </c>
      <c r="K46" s="1" t="n">
        <v>72</v>
      </c>
      <c r="L46" s="1" t="n">
        <v>63.3</v>
      </c>
      <c r="M46" s="1" t="n">
        <v>2</v>
      </c>
      <c r="N46" s="1" t="n">
        <v>13.3</v>
      </c>
      <c r="P46" s="1" t="n">
        <f aca="false">313/2323</f>
        <v>0.1347395609</v>
      </c>
      <c r="Q46" s="1" t="n">
        <v>0.699</v>
      </c>
      <c r="U46" s="1" t="n">
        <f aca="false">K46-L46</f>
        <v>8.7</v>
      </c>
    </row>
    <row r="47" customFormat="false" ht="12.75" hidden="false" customHeight="false" outlineLevel="0" collapsed="false">
      <c r="A47" s="1" t="s">
        <v>73</v>
      </c>
      <c r="B47" s="1" t="s">
        <v>610</v>
      </c>
      <c r="C47" s="1" t="n">
        <v>2</v>
      </c>
      <c r="D47" s="1" t="n">
        <v>0.575</v>
      </c>
      <c r="E47" s="1" t="n">
        <v>0.688</v>
      </c>
      <c r="F47" s="1" t="n">
        <v>5</v>
      </c>
      <c r="G47" s="1" t="n">
        <v>0</v>
      </c>
      <c r="H47" s="1" t="n">
        <v>1</v>
      </c>
      <c r="I47" s="1" t="n">
        <v>2</v>
      </c>
      <c r="J47" s="1" t="n">
        <v>6</v>
      </c>
      <c r="K47" s="1" t="n">
        <v>71.7</v>
      </c>
      <c r="L47" s="1" t="n">
        <v>66.2</v>
      </c>
      <c r="N47" s="25" t="n">
        <v>14.8</v>
      </c>
      <c r="P47" s="1" t="n">
        <f aca="false">250/2295</f>
        <v>0.1089324619</v>
      </c>
      <c r="Q47" s="1" t="n">
        <v>0.678</v>
      </c>
      <c r="U47" s="1" t="n">
        <f aca="false">K47-L47</f>
        <v>5.5</v>
      </c>
    </row>
    <row r="48" customFormat="false" ht="12.75" hidden="false" customHeight="false" outlineLevel="0" collapsed="false">
      <c r="A48" s="1" t="s">
        <v>581</v>
      </c>
      <c r="B48" s="1" t="s">
        <v>610</v>
      </c>
      <c r="C48" s="1" t="n">
        <v>0</v>
      </c>
      <c r="D48" s="1" t="n">
        <v>0.469</v>
      </c>
      <c r="E48" s="1" t="n">
        <v>0.588</v>
      </c>
      <c r="F48" s="1" t="n">
        <v>8</v>
      </c>
      <c r="G48" s="1" t="n">
        <v>1</v>
      </c>
      <c r="I48" s="1" t="n">
        <v>0</v>
      </c>
      <c r="J48" s="1" t="n">
        <v>0</v>
      </c>
      <c r="K48" s="1" t="n">
        <v>70.2</v>
      </c>
      <c r="L48" s="1" t="n">
        <v>71.2</v>
      </c>
      <c r="M48" s="1" t="n">
        <v>2</v>
      </c>
      <c r="N48" s="25" t="n">
        <v>14.7</v>
      </c>
      <c r="P48" s="1" t="n">
        <f aca="false">213/2386</f>
        <v>0.08927074602</v>
      </c>
      <c r="Q48" s="1" t="n">
        <v>0.673</v>
      </c>
      <c r="U48" s="1" t="n">
        <f aca="false">K48-L48</f>
        <v>-1</v>
      </c>
    </row>
    <row r="49" customFormat="false" ht="12.75" hidden="false" customHeight="false" outlineLevel="0" collapsed="false">
      <c r="A49" s="1" t="s">
        <v>617</v>
      </c>
      <c r="B49" s="1" t="s">
        <v>610</v>
      </c>
      <c r="C49" s="1" t="n">
        <v>0</v>
      </c>
      <c r="D49" s="1" t="n">
        <v>0.567</v>
      </c>
      <c r="E49" s="1" t="n">
        <v>0.774</v>
      </c>
      <c r="F49" s="1" t="n">
        <v>8</v>
      </c>
      <c r="G49" s="1" t="n">
        <v>1</v>
      </c>
      <c r="H49" s="1" t="n">
        <v>0</v>
      </c>
      <c r="I49" s="1" t="n">
        <v>0</v>
      </c>
      <c r="J49" s="1" t="n">
        <v>0</v>
      </c>
      <c r="K49" s="1" t="n">
        <v>69.2</v>
      </c>
      <c r="L49" s="1" t="n">
        <v>62.3</v>
      </c>
      <c r="M49" s="1" t="n">
        <v>1</v>
      </c>
      <c r="N49" s="1" t="n">
        <v>15</v>
      </c>
      <c r="P49" s="1" t="n">
        <f aca="false">193/2154</f>
        <v>0.0896007428</v>
      </c>
      <c r="Q49" s="1" t="n">
        <v>0.702</v>
      </c>
      <c r="U49" s="1" t="n">
        <f aca="false">K49-L49</f>
        <v>6.90000000000001</v>
      </c>
    </row>
    <row r="50" customFormat="false" ht="12.75" hidden="false" customHeight="false" outlineLevel="0" collapsed="false">
      <c r="A50" s="1" t="s">
        <v>63</v>
      </c>
      <c r="B50" s="1" t="s">
        <v>610</v>
      </c>
      <c r="C50" s="1" t="n">
        <v>0</v>
      </c>
      <c r="D50" s="1" t="n">
        <v>0.577</v>
      </c>
      <c r="E50" s="1" t="n">
        <v>0.677</v>
      </c>
      <c r="F50" s="1" t="n">
        <v>7</v>
      </c>
      <c r="G50" s="1" t="n">
        <v>0</v>
      </c>
      <c r="H50" s="1" t="n">
        <v>0</v>
      </c>
      <c r="I50" s="1" t="n">
        <v>2</v>
      </c>
      <c r="J50" s="1" t="n">
        <v>3</v>
      </c>
      <c r="K50" s="1" t="n">
        <v>68.9</v>
      </c>
      <c r="L50" s="1" t="n">
        <v>64.7</v>
      </c>
      <c r="M50" s="1" t="n">
        <v>1</v>
      </c>
      <c r="N50" s="1" t="n">
        <v>15.8</v>
      </c>
      <c r="P50" s="1" t="n">
        <f aca="false">177/2136</f>
        <v>0.08286516854</v>
      </c>
      <c r="Q50" s="1" t="n">
        <v>0.661</v>
      </c>
      <c r="U50" s="1" t="n">
        <f aca="false">K50-L50</f>
        <v>4.2</v>
      </c>
    </row>
    <row r="51" customFormat="false" ht="12.75" hidden="false" customHeight="false" outlineLevel="0" collapsed="false">
      <c r="A51" s="1" t="s">
        <v>261</v>
      </c>
      <c r="B51" s="1" t="s">
        <v>610</v>
      </c>
      <c r="C51" s="1" t="n">
        <v>1</v>
      </c>
      <c r="D51" s="1" t="n">
        <v>0.634</v>
      </c>
      <c r="E51" s="1" t="n">
        <v>0.758</v>
      </c>
      <c r="F51" s="1" t="n">
        <v>8</v>
      </c>
      <c r="G51" s="1" t="n">
        <v>1</v>
      </c>
      <c r="H51" s="1" t="n">
        <v>1</v>
      </c>
      <c r="I51" s="1" t="n">
        <v>8</v>
      </c>
      <c r="J51" s="1" t="n">
        <v>6</v>
      </c>
      <c r="K51" s="1" t="n">
        <v>73.7</v>
      </c>
      <c r="L51" s="1" t="n">
        <v>66.4</v>
      </c>
      <c r="M51" s="1" t="n">
        <v>3</v>
      </c>
      <c r="N51" s="25" t="n">
        <v>12.1</v>
      </c>
      <c r="P51" s="1" t="n">
        <f aca="false">216/2043</f>
        <v>0.1057268722</v>
      </c>
      <c r="Q51" s="1" t="n">
        <v>0.713</v>
      </c>
      <c r="U51" s="1" t="n">
        <f aca="false">K51-L51</f>
        <v>7.3</v>
      </c>
    </row>
    <row r="52" customFormat="false" ht="12.75" hidden="false" customHeight="false" outlineLevel="0" collapsed="false">
      <c r="A52" s="1" t="s">
        <v>335</v>
      </c>
      <c r="B52" s="1" t="s">
        <v>610</v>
      </c>
      <c r="C52" s="1" t="n">
        <v>1</v>
      </c>
      <c r="D52" s="1" t="n">
        <v>0.614</v>
      </c>
      <c r="E52" s="1" t="n">
        <v>0.871</v>
      </c>
      <c r="F52" s="1" t="n">
        <v>8</v>
      </c>
      <c r="G52" s="1" t="n">
        <v>0</v>
      </c>
      <c r="H52" s="1" t="n">
        <v>1</v>
      </c>
      <c r="I52" s="1" t="n">
        <v>5</v>
      </c>
      <c r="J52" s="1" t="n">
        <v>3</v>
      </c>
      <c r="K52" s="1" t="n">
        <v>79.2</v>
      </c>
      <c r="L52" s="1" t="n">
        <v>60.6</v>
      </c>
      <c r="M52" s="1" t="n">
        <v>3</v>
      </c>
      <c r="N52" s="25" t="n">
        <v>14.4</v>
      </c>
      <c r="P52" s="1" t="n">
        <f aca="false">245/2447</f>
        <v>0.1001225991</v>
      </c>
      <c r="Q52" s="1" t="n">
        <v>0.71</v>
      </c>
      <c r="U52" s="1" t="n">
        <f aca="false">K52-L52</f>
        <v>18.6</v>
      </c>
    </row>
    <row r="53" customFormat="false" ht="12.75" hidden="false" customHeight="false" outlineLevel="0" collapsed="false">
      <c r="A53" s="1" t="s">
        <v>81</v>
      </c>
      <c r="B53" s="1" t="s">
        <v>610</v>
      </c>
      <c r="C53" s="1" t="n">
        <v>2</v>
      </c>
      <c r="D53" s="1" t="n">
        <v>0.61</v>
      </c>
      <c r="E53" s="1" t="n">
        <v>0.781</v>
      </c>
      <c r="F53" s="1" t="n">
        <v>6</v>
      </c>
      <c r="G53" s="1" t="n">
        <v>0</v>
      </c>
      <c r="H53" s="1" t="n">
        <v>0</v>
      </c>
      <c r="I53" s="1" t="n">
        <v>5</v>
      </c>
      <c r="J53" s="1" t="n">
        <v>4</v>
      </c>
      <c r="K53" s="1" t="n">
        <v>75</v>
      </c>
      <c r="L53" s="1" t="n">
        <v>63.5</v>
      </c>
      <c r="M53" s="1" t="n">
        <v>3</v>
      </c>
      <c r="N53" s="1" t="n">
        <v>14.2</v>
      </c>
      <c r="P53" s="1" t="n">
        <f aca="false">171/2400</f>
        <v>0.07125</v>
      </c>
      <c r="Q53" s="1" t="n">
        <v>0.705</v>
      </c>
      <c r="U53" s="1" t="n">
        <f aca="false">K53-L53</f>
        <v>11.5</v>
      </c>
    </row>
    <row r="54" customFormat="false" ht="12.75" hidden="false" customHeight="false" outlineLevel="0" collapsed="false">
      <c r="A54" s="1" t="s">
        <v>202</v>
      </c>
      <c r="B54" s="1" t="s">
        <v>610</v>
      </c>
      <c r="C54" s="1" t="n">
        <v>1</v>
      </c>
      <c r="D54" s="1" t="n">
        <v>0.634</v>
      </c>
      <c r="E54" s="1" t="n">
        <v>0.818</v>
      </c>
      <c r="F54" s="1" t="n">
        <v>9</v>
      </c>
      <c r="G54" s="1" t="n">
        <v>0</v>
      </c>
      <c r="H54" s="1" t="n">
        <v>0</v>
      </c>
      <c r="I54" s="1" t="n">
        <v>7</v>
      </c>
      <c r="J54" s="1" t="n">
        <v>3</v>
      </c>
      <c r="K54" s="1" t="n">
        <v>68.5</v>
      </c>
      <c r="L54" s="1" t="n">
        <v>54.8</v>
      </c>
      <c r="M54" s="1" t="n">
        <v>3</v>
      </c>
      <c r="N54" s="1" t="n">
        <v>9.6</v>
      </c>
      <c r="P54" s="1" t="n">
        <f aca="false">274/2260</f>
        <v>0.1212389381</v>
      </c>
      <c r="Q54" s="1" t="n">
        <v>0.656</v>
      </c>
      <c r="U54" s="1" t="n">
        <f aca="false">K54-L54</f>
        <v>13.7</v>
      </c>
    </row>
    <row r="55" customFormat="false" ht="12.75" hidden="false" customHeight="false" outlineLevel="0" collapsed="false">
      <c r="A55" s="1" t="s">
        <v>336</v>
      </c>
      <c r="B55" s="1" t="s">
        <v>610</v>
      </c>
      <c r="C55" s="1" t="n">
        <v>2</v>
      </c>
      <c r="E55" s="1" t="n">
        <v>0.788</v>
      </c>
      <c r="F55" s="1" t="n">
        <v>6</v>
      </c>
      <c r="G55" s="1" t="n">
        <v>0</v>
      </c>
      <c r="H55" s="1" t="n">
        <v>1</v>
      </c>
      <c r="I55" s="1" t="n">
        <v>6</v>
      </c>
      <c r="J55" s="1" t="n">
        <v>2</v>
      </c>
      <c r="K55" s="1" t="n">
        <v>79</v>
      </c>
      <c r="L55" s="1" t="n">
        <v>68.2</v>
      </c>
      <c r="M55" s="1" t="n">
        <v>3</v>
      </c>
      <c r="N55" s="25" t="n">
        <v>15.7</v>
      </c>
      <c r="P55" s="1" t="n">
        <f aca="false">266/2629</f>
        <v>0.1011791556</v>
      </c>
      <c r="Q55" s="1" t="n">
        <v>0.683</v>
      </c>
      <c r="U55" s="1" t="n">
        <f aca="false">K55-L55</f>
        <v>10.8</v>
      </c>
    </row>
    <row r="56" customFormat="false" ht="12.75" hidden="false" customHeight="false" outlineLevel="0" collapsed="false">
      <c r="A56" s="1" t="s">
        <v>33</v>
      </c>
      <c r="B56" s="1" t="s">
        <v>610</v>
      </c>
      <c r="C56" s="1" t="n">
        <v>1</v>
      </c>
      <c r="D56" s="1" t="n">
        <v>0.634</v>
      </c>
      <c r="E56" s="1" t="n">
        <v>0.727</v>
      </c>
      <c r="F56" s="1" t="n">
        <v>7</v>
      </c>
      <c r="G56" s="1" t="n">
        <v>0</v>
      </c>
      <c r="H56" s="1" t="n">
        <v>1</v>
      </c>
      <c r="I56" s="1" t="n">
        <v>7</v>
      </c>
      <c r="J56" s="1" t="n">
        <v>8</v>
      </c>
      <c r="K56" s="1" t="n">
        <v>74.5</v>
      </c>
      <c r="L56" s="1" t="n">
        <v>63.7</v>
      </c>
      <c r="M56" s="1" t="n">
        <v>2</v>
      </c>
      <c r="N56" s="25" t="n">
        <v>15</v>
      </c>
      <c r="P56" s="1" t="n">
        <f aca="false">185/2460</f>
        <v>0.07520325203</v>
      </c>
      <c r="Q56" s="1" t="n">
        <v>0.646</v>
      </c>
      <c r="U56" s="1" t="n">
        <f aca="false">K56-L56</f>
        <v>10.8</v>
      </c>
    </row>
    <row r="57" customFormat="false" ht="12.75" hidden="false" customHeight="false" outlineLevel="0" collapsed="false">
      <c r="A57" s="1" t="s">
        <v>204</v>
      </c>
      <c r="B57" s="1" t="s">
        <v>610</v>
      </c>
      <c r="C57" s="1" t="n">
        <v>3</v>
      </c>
      <c r="D57" s="1" t="n">
        <v>0.605</v>
      </c>
      <c r="E57" s="1" t="n">
        <v>0.865</v>
      </c>
      <c r="F57" s="1" t="n">
        <v>8</v>
      </c>
      <c r="G57" s="1" t="n">
        <v>0</v>
      </c>
      <c r="H57" s="1" t="n">
        <v>0</v>
      </c>
      <c r="I57" s="1" t="n">
        <v>2</v>
      </c>
      <c r="J57" s="1" t="n">
        <v>3</v>
      </c>
      <c r="K57" s="1" t="n">
        <v>80.4</v>
      </c>
      <c r="L57" s="1" t="n">
        <v>62.9</v>
      </c>
      <c r="M57" s="1" t="n">
        <v>2</v>
      </c>
      <c r="N57" s="25" t="n">
        <v>15.2</v>
      </c>
      <c r="P57" s="1" t="n">
        <f aca="false">264/2974</f>
        <v>0.08876933423</v>
      </c>
      <c r="Q57" s="1" t="n">
        <v>0.705</v>
      </c>
      <c r="U57" s="1" t="n">
        <f aca="false">K57-L57</f>
        <v>17.5</v>
      </c>
    </row>
    <row r="58" customFormat="false" ht="12.75" hidden="false" customHeight="false" outlineLevel="0" collapsed="false">
      <c r="A58" s="1" t="s">
        <v>64</v>
      </c>
      <c r="B58" s="1" t="s">
        <v>610</v>
      </c>
      <c r="C58" s="1" t="n">
        <v>2</v>
      </c>
      <c r="D58" s="1" t="n">
        <v>0.593</v>
      </c>
      <c r="E58" s="1" t="n">
        <v>0.636</v>
      </c>
      <c r="F58" s="1" t="n">
        <v>8</v>
      </c>
      <c r="G58" s="1" t="n">
        <v>0</v>
      </c>
      <c r="H58" s="1" t="n">
        <v>0</v>
      </c>
      <c r="I58" s="1" t="n">
        <v>7</v>
      </c>
      <c r="J58" s="1" t="n">
        <v>6</v>
      </c>
      <c r="K58" s="1" t="n">
        <v>75.5</v>
      </c>
      <c r="L58" s="1" t="n">
        <v>70.3</v>
      </c>
      <c r="N58" s="1" t="n">
        <v>16.6</v>
      </c>
      <c r="P58" s="1" t="n">
        <f aca="false">205/2492</f>
        <v>0.08226324238</v>
      </c>
      <c r="Q58" s="1" t="n">
        <v>0.587</v>
      </c>
      <c r="U58" s="1" t="n">
        <f aca="false">K58-L58</f>
        <v>5.2</v>
      </c>
    </row>
    <row r="59" customFormat="false" ht="12.75" hidden="false" customHeight="false" outlineLevel="0" collapsed="false">
      <c r="A59" s="1" t="s">
        <v>592</v>
      </c>
      <c r="B59" s="1" t="s">
        <v>610</v>
      </c>
      <c r="C59" s="1" t="n">
        <v>0</v>
      </c>
      <c r="D59" s="1" t="n">
        <v>0.528</v>
      </c>
      <c r="E59" s="1" t="n">
        <v>0.581</v>
      </c>
      <c r="F59" s="1" t="n">
        <v>7</v>
      </c>
      <c r="G59" s="1" t="n">
        <v>1</v>
      </c>
      <c r="H59" s="1" t="n">
        <v>0</v>
      </c>
      <c r="I59" s="1" t="n">
        <v>1</v>
      </c>
      <c r="J59" s="1" t="n">
        <v>2</v>
      </c>
      <c r="K59" s="1" t="n">
        <v>60.1</v>
      </c>
      <c r="L59" s="1" t="n">
        <v>57.5</v>
      </c>
      <c r="M59" s="1" t="n">
        <v>0</v>
      </c>
      <c r="N59" s="25" t="n">
        <v>13.5</v>
      </c>
      <c r="P59" s="1" t="n">
        <f aca="false">176/1863</f>
        <v>0.09447128288</v>
      </c>
      <c r="Q59" s="1" t="n">
        <v>0.629</v>
      </c>
      <c r="U59" s="1" t="n">
        <f aca="false">K59-L59</f>
        <v>2.6</v>
      </c>
    </row>
    <row r="60" customFormat="false" ht="12.75" hidden="false" customHeight="false" outlineLevel="0" collapsed="false">
      <c r="A60" s="1" t="s">
        <v>378</v>
      </c>
      <c r="B60" s="1" t="s">
        <v>610</v>
      </c>
      <c r="C60" s="1" t="n">
        <v>0</v>
      </c>
      <c r="D60" s="1" t="n">
        <v>0.559</v>
      </c>
      <c r="E60" s="1" t="n">
        <v>0.742</v>
      </c>
      <c r="F60" s="1" t="n">
        <v>8</v>
      </c>
      <c r="G60" s="1" t="n">
        <v>1</v>
      </c>
      <c r="H60" s="1" t="n">
        <v>0</v>
      </c>
      <c r="I60" s="1" t="n">
        <v>1</v>
      </c>
      <c r="J60" s="1" t="n">
        <v>4</v>
      </c>
      <c r="K60" s="1" t="n">
        <v>82.2</v>
      </c>
      <c r="L60" s="1" t="n">
        <v>75</v>
      </c>
      <c r="M60" s="1" t="n">
        <v>0</v>
      </c>
      <c r="N60" s="25" t="n">
        <v>15.9</v>
      </c>
      <c r="P60" s="1" t="n">
        <f aca="false">167/2548</f>
        <v>0.06554160126</v>
      </c>
      <c r="Q60" s="1" t="n">
        <v>0.681</v>
      </c>
      <c r="U60" s="1" t="n">
        <f aca="false">K60-L60</f>
        <v>7.2</v>
      </c>
    </row>
    <row r="61" customFormat="false" ht="12.75" hidden="false" customHeight="false" outlineLevel="0" collapsed="false">
      <c r="A61" s="1" t="s">
        <v>206</v>
      </c>
      <c r="B61" s="1" t="s">
        <v>610</v>
      </c>
      <c r="C61" s="1" t="n">
        <v>1</v>
      </c>
      <c r="D61" s="1" t="n">
        <v>0.577</v>
      </c>
      <c r="E61" s="1" t="n">
        <v>0.7</v>
      </c>
      <c r="F61" s="1" t="n">
        <v>6</v>
      </c>
      <c r="G61" s="1" t="n">
        <v>0</v>
      </c>
      <c r="H61" s="1" t="n">
        <v>0</v>
      </c>
      <c r="I61" s="1" t="n">
        <v>3</v>
      </c>
      <c r="J61" s="1" t="n">
        <v>3</v>
      </c>
      <c r="K61" s="1" t="n">
        <v>70.4</v>
      </c>
      <c r="L61" s="1" t="n">
        <v>62.5</v>
      </c>
      <c r="M61" s="1" t="n">
        <v>3</v>
      </c>
      <c r="N61" s="1" t="n">
        <v>14.4</v>
      </c>
      <c r="P61" s="1" t="n">
        <f aca="false">222/2252</f>
        <v>0.09857904085</v>
      </c>
      <c r="Q61" s="1" t="n">
        <v>0.719</v>
      </c>
      <c r="U61" s="1" t="n">
        <f aca="false">K61-L61</f>
        <v>7.90000000000001</v>
      </c>
    </row>
    <row r="62" customFormat="false" ht="12.75" hidden="false" customHeight="false" outlineLevel="0" collapsed="false">
      <c r="A62" s="1" t="s">
        <v>471</v>
      </c>
      <c r="B62" s="1" t="s">
        <v>610</v>
      </c>
      <c r="C62" s="1" t="n">
        <v>0</v>
      </c>
      <c r="D62" s="1" t="n">
        <v>0.587</v>
      </c>
      <c r="E62" s="1" t="n">
        <v>0.824</v>
      </c>
      <c r="F62" s="1" t="n">
        <v>10</v>
      </c>
      <c r="G62" s="1" t="n">
        <v>1</v>
      </c>
      <c r="H62" s="1" t="n">
        <v>0</v>
      </c>
      <c r="I62" s="1" t="n">
        <v>2</v>
      </c>
      <c r="J62" s="1" t="n">
        <v>3</v>
      </c>
      <c r="K62" s="1" t="n">
        <v>69.1</v>
      </c>
      <c r="L62" s="1" t="n">
        <v>62.2</v>
      </c>
      <c r="M62" s="1" t="n">
        <v>2</v>
      </c>
      <c r="N62" s="25" t="n">
        <v>13.1</v>
      </c>
      <c r="P62" s="1" t="n">
        <f aca="false">194/2397</f>
        <v>0.08093450146</v>
      </c>
      <c r="Q62" s="1" t="n">
        <v>0.628</v>
      </c>
      <c r="U62" s="1" t="n">
        <f aca="false">K62-L62</f>
        <v>6.89999999999999</v>
      </c>
    </row>
    <row r="63" customFormat="false" ht="12.75" hidden="false" customHeight="false" outlineLevel="0" collapsed="false">
      <c r="A63" s="1" t="s">
        <v>267</v>
      </c>
      <c r="B63" s="1" t="s">
        <v>610</v>
      </c>
      <c r="C63" s="1" t="n">
        <v>0</v>
      </c>
      <c r="D63" s="1" t="n">
        <v>0.48</v>
      </c>
      <c r="E63" s="1" t="n">
        <v>0.567</v>
      </c>
      <c r="F63" s="1" t="n">
        <v>8</v>
      </c>
      <c r="G63" s="1" t="n">
        <v>1</v>
      </c>
      <c r="H63" s="1" t="n">
        <v>0</v>
      </c>
      <c r="I63" s="1" t="n">
        <v>0</v>
      </c>
      <c r="J63" s="1" t="n">
        <v>0</v>
      </c>
      <c r="K63" s="1" t="n">
        <v>64.9</v>
      </c>
      <c r="L63" s="1" t="n">
        <v>63.8</v>
      </c>
      <c r="M63" s="1" t="n">
        <v>3</v>
      </c>
      <c r="N63" s="25" t="n">
        <v>15.7</v>
      </c>
      <c r="P63" s="1" t="n">
        <f aca="false">228/2128</f>
        <v>0.1071428571</v>
      </c>
      <c r="Q63" s="1" t="n">
        <v>0.651</v>
      </c>
      <c r="U63" s="1" t="n">
        <f aca="false">K63-L63</f>
        <v>1.10000000000001</v>
      </c>
    </row>
    <row r="64" customFormat="false" ht="12.75" hidden="false" customHeight="false" outlineLevel="0" collapsed="false">
      <c r="A64" s="1" t="s">
        <v>137</v>
      </c>
      <c r="B64" s="1" t="s">
        <v>610</v>
      </c>
      <c r="C64" s="1" t="n">
        <v>0</v>
      </c>
      <c r="D64" s="1" t="n">
        <v>0.513</v>
      </c>
      <c r="E64" s="1" t="n">
        <v>0.7</v>
      </c>
      <c r="F64" s="1" t="n">
        <v>8</v>
      </c>
      <c r="G64" s="1" t="n">
        <v>1</v>
      </c>
      <c r="H64" s="1" t="n">
        <v>0</v>
      </c>
      <c r="I64" s="1" t="n">
        <v>1</v>
      </c>
      <c r="J64" s="1" t="n">
        <v>2</v>
      </c>
      <c r="K64" s="1" t="n">
        <v>71.2</v>
      </c>
      <c r="L64" s="1" t="n">
        <v>64.9</v>
      </c>
      <c r="M64" s="1" t="n">
        <v>2</v>
      </c>
      <c r="N64" s="1" t="n">
        <v>15.7</v>
      </c>
      <c r="P64" s="1" t="n">
        <f aca="false">251/2193</f>
        <v>0.1144550844</v>
      </c>
      <c r="Q64" s="1" t="n">
        <v>0.664</v>
      </c>
      <c r="U64" s="1" t="n">
        <f aca="false">K64-L64</f>
        <v>6.3</v>
      </c>
    </row>
    <row r="65" customFormat="false" ht="12.75" hidden="false" customHeight="false" outlineLevel="0" collapsed="false">
      <c r="A65" s="1" t="s">
        <v>138</v>
      </c>
      <c r="B65" s="1" t="s">
        <v>610</v>
      </c>
      <c r="C65" s="1" t="n">
        <v>4</v>
      </c>
      <c r="D65" s="1" t="n">
        <v>0.609</v>
      </c>
      <c r="E65" s="1" t="n">
        <v>0.611</v>
      </c>
      <c r="F65" s="1" t="n">
        <v>8</v>
      </c>
      <c r="G65" s="1" t="n">
        <v>0</v>
      </c>
      <c r="H65" s="1" t="n">
        <v>1</v>
      </c>
      <c r="I65" s="1" t="n">
        <v>8</v>
      </c>
      <c r="J65" s="1" t="n">
        <v>8</v>
      </c>
      <c r="K65" s="1" t="n">
        <v>59.9</v>
      </c>
      <c r="L65" s="1" t="n">
        <v>55.8</v>
      </c>
      <c r="M65" s="1" t="n">
        <v>2</v>
      </c>
      <c r="N65" s="1" t="n">
        <v>11.2</v>
      </c>
      <c r="P65" s="1" t="n">
        <f aca="false">207/2157</f>
        <v>0.09596662031</v>
      </c>
      <c r="Q65" s="1" t="n">
        <v>0.681</v>
      </c>
      <c r="U65" s="1" t="n">
        <f aca="false">K65-L65</f>
        <v>4.1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24" min="1" style="0" width="17.29"/>
    <col collapsed="false" customWidth="true" hidden="false" outlineLevel="0" max="1025" min="25" style="0" width="14.43"/>
  </cols>
  <sheetData>
    <row r="1" customFormat="false" ht="12.75" hidden="false" customHeight="false" outlineLevel="0" collapsed="false">
      <c r="A1" s="1" t="s">
        <v>2</v>
      </c>
      <c r="B1" s="1" t="s">
        <v>604</v>
      </c>
      <c r="C1" s="1" t="s">
        <v>213</v>
      </c>
      <c r="E1" s="1" t="s">
        <v>473</v>
      </c>
      <c r="F1" s="1" t="s">
        <v>498</v>
      </c>
      <c r="G1" s="1" t="s">
        <v>442</v>
      </c>
      <c r="H1" s="1" t="s">
        <v>618</v>
      </c>
      <c r="I1" s="1" t="s">
        <v>444</v>
      </c>
      <c r="J1" s="1" t="s">
        <v>445</v>
      </c>
      <c r="K1" s="1" t="s">
        <v>619</v>
      </c>
      <c r="L1" s="1" t="s">
        <v>620</v>
      </c>
      <c r="M1" s="1" t="s">
        <v>621</v>
      </c>
      <c r="N1" s="1" t="s">
        <v>622</v>
      </c>
      <c r="O1" s="1" t="s">
        <v>623</v>
      </c>
      <c r="P1" s="1" t="s">
        <v>624</v>
      </c>
      <c r="Q1" s="1" t="s">
        <v>287</v>
      </c>
      <c r="R1" s="1" t="s">
        <v>625</v>
      </c>
      <c r="S1" s="1" t="s">
        <v>626</v>
      </c>
      <c r="T1" s="1" t="s">
        <v>627</v>
      </c>
      <c r="U1" s="1" t="s">
        <v>628</v>
      </c>
      <c r="V1" s="1" t="s">
        <v>453</v>
      </c>
      <c r="W1" s="1" t="s">
        <v>629</v>
      </c>
    </row>
    <row r="2" customFormat="false" ht="12.75" hidden="false" customHeight="false" outlineLevel="0" collapsed="false">
      <c r="A2" s="1" t="s">
        <v>51</v>
      </c>
      <c r="B2" s="1" t="s">
        <v>630</v>
      </c>
      <c r="C2" s="1" t="n">
        <v>1</v>
      </c>
      <c r="E2" s="1" t="n">
        <v>0.705882353</v>
      </c>
      <c r="F2" s="1" t="n">
        <v>6</v>
      </c>
      <c r="G2" s="1" t="n">
        <v>0</v>
      </c>
      <c r="H2" s="1" t="n">
        <v>1</v>
      </c>
      <c r="I2" s="1" t="n">
        <v>5</v>
      </c>
      <c r="J2" s="1" t="n">
        <v>6</v>
      </c>
      <c r="K2" s="1" t="n">
        <v>69.4</v>
      </c>
      <c r="L2" s="1" t="n">
        <v>64.9</v>
      </c>
      <c r="M2" s="1" t="n">
        <v>3</v>
      </c>
      <c r="N2" s="1" t="s">
        <v>631</v>
      </c>
      <c r="O2" s="1" t="s">
        <v>632</v>
      </c>
      <c r="P2" s="1" t="s">
        <v>633</v>
      </c>
      <c r="Q2" s="1" t="n">
        <v>0.718</v>
      </c>
      <c r="S2" s="1" t="n">
        <v>1.041</v>
      </c>
      <c r="T2" s="1" t="n">
        <v>0.946</v>
      </c>
      <c r="U2" s="1" t="n">
        <f aca="false">S2-T2</f>
        <v>0.0949999999999999</v>
      </c>
      <c r="V2" s="1" t="n">
        <f aca="false">4/6</f>
        <v>0.6666666667</v>
      </c>
      <c r="W2" s="1" t="s">
        <v>51</v>
      </c>
    </row>
    <row r="3" customFormat="false" ht="12.75" hidden="false" customHeight="false" outlineLevel="0" collapsed="false">
      <c r="A3" s="1" t="s">
        <v>182</v>
      </c>
      <c r="B3" s="1" t="s">
        <v>630</v>
      </c>
      <c r="C3" s="1" t="n">
        <v>6</v>
      </c>
      <c r="E3" s="1" t="n">
        <v>0.944444444</v>
      </c>
      <c r="F3" s="1" t="n">
        <v>10</v>
      </c>
      <c r="G3" s="1" t="n">
        <v>1</v>
      </c>
      <c r="H3" s="1" t="n">
        <v>1</v>
      </c>
      <c r="I3" s="1" t="n">
        <v>9</v>
      </c>
      <c r="J3" s="1" t="n">
        <v>2</v>
      </c>
      <c r="K3" s="1" t="n">
        <v>77.3</v>
      </c>
      <c r="L3" s="1" t="n">
        <v>61.3</v>
      </c>
      <c r="M3" s="1" t="n">
        <v>2</v>
      </c>
      <c r="N3" s="1" t="s">
        <v>634</v>
      </c>
      <c r="O3" s="1" t="s">
        <v>635</v>
      </c>
      <c r="P3" s="1" t="s">
        <v>636</v>
      </c>
      <c r="Q3" s="1" t="n">
        <v>0.732</v>
      </c>
      <c r="S3" s="1" t="n">
        <v>1.068</v>
      </c>
      <c r="T3" s="1" t="n">
        <v>0.848</v>
      </c>
      <c r="U3" s="1" t="n">
        <f aca="false">S3-T3</f>
        <v>0.22</v>
      </c>
      <c r="V3" s="1" t="n">
        <f aca="false">7/8</f>
        <v>0.875</v>
      </c>
      <c r="W3" s="1" t="s">
        <v>182</v>
      </c>
    </row>
    <row r="4" customFormat="false" ht="12.75" hidden="false" customHeight="false" outlineLevel="0" collapsed="false">
      <c r="A4" s="1" t="s">
        <v>194</v>
      </c>
      <c r="B4" s="1" t="s">
        <v>630</v>
      </c>
      <c r="C4" s="1" t="n">
        <v>4</v>
      </c>
      <c r="E4" s="1" t="n">
        <v>0.868421053</v>
      </c>
      <c r="F4" s="1" t="n">
        <v>9</v>
      </c>
      <c r="G4" s="1" t="n">
        <v>0</v>
      </c>
      <c r="H4" s="1" t="n">
        <v>1</v>
      </c>
      <c r="I4" s="1" t="n">
        <v>12</v>
      </c>
      <c r="J4" s="1" t="n">
        <v>4</v>
      </c>
      <c r="K4" s="1" t="n">
        <v>67.1</v>
      </c>
      <c r="L4" s="1" t="n">
        <v>59.5</v>
      </c>
      <c r="M4" s="1" t="n">
        <v>1</v>
      </c>
      <c r="N4" s="1" t="s">
        <v>637</v>
      </c>
      <c r="O4" s="1" t="s">
        <v>638</v>
      </c>
      <c r="P4" s="1" t="s">
        <v>639</v>
      </c>
      <c r="Q4" s="1" t="n">
        <v>0.733</v>
      </c>
      <c r="S4" s="1" t="n">
        <v>1.089</v>
      </c>
      <c r="T4" s="1" t="n">
        <v>0.903</v>
      </c>
      <c r="U4" s="1" t="n">
        <f aca="false">S4-T4</f>
        <v>0.186</v>
      </c>
      <c r="V4" s="1" t="n">
        <f aca="false">4/5</f>
        <v>0.8</v>
      </c>
      <c r="W4" s="1" t="s">
        <v>194</v>
      </c>
    </row>
    <row r="5" customFormat="false" ht="12.75" hidden="false" customHeight="false" outlineLevel="0" collapsed="false">
      <c r="A5" s="1" t="s">
        <v>190</v>
      </c>
      <c r="B5" s="1" t="s">
        <v>630</v>
      </c>
      <c r="C5" s="1" t="n">
        <v>1</v>
      </c>
      <c r="E5" s="1" t="n">
        <v>0.676470588</v>
      </c>
      <c r="F5" s="1" t="n">
        <v>6</v>
      </c>
      <c r="G5" s="1" t="n">
        <v>0</v>
      </c>
      <c r="H5" s="1" t="n">
        <v>1</v>
      </c>
      <c r="I5" s="1" t="n">
        <v>6</v>
      </c>
      <c r="J5" s="1" t="n">
        <v>8</v>
      </c>
      <c r="K5" s="1" t="n">
        <v>75.4</v>
      </c>
      <c r="L5" s="1" t="n">
        <v>69.6</v>
      </c>
      <c r="M5" s="1" t="n">
        <v>3</v>
      </c>
      <c r="N5" s="1" t="s">
        <v>640</v>
      </c>
      <c r="O5" s="1" t="s">
        <v>641</v>
      </c>
      <c r="P5" s="1" t="s">
        <v>642</v>
      </c>
      <c r="Q5" s="1" t="n">
        <v>0.697</v>
      </c>
      <c r="S5" s="1" t="n">
        <v>1.019</v>
      </c>
      <c r="T5" s="1" t="n">
        <v>0.94</v>
      </c>
      <c r="U5" s="1" t="n">
        <f aca="false">S5-T5</f>
        <v>0.0789999999999998</v>
      </c>
      <c r="V5" s="1" t="n">
        <f aca="false">7/9</f>
        <v>0.7777777778</v>
      </c>
      <c r="W5" s="1" t="s">
        <v>190</v>
      </c>
    </row>
    <row r="6" customFormat="false" ht="12.75" hidden="false" customHeight="false" outlineLevel="0" collapsed="false">
      <c r="A6" s="1" t="s">
        <v>559</v>
      </c>
      <c r="B6" s="1" t="s">
        <v>630</v>
      </c>
      <c r="C6" s="1" t="n">
        <v>1</v>
      </c>
      <c r="E6" s="1" t="n">
        <v>0.676470588</v>
      </c>
      <c r="F6" s="1" t="n">
        <v>8</v>
      </c>
      <c r="G6" s="1" t="n">
        <v>0</v>
      </c>
      <c r="H6" s="1" t="n">
        <v>0</v>
      </c>
      <c r="I6" s="1" t="n">
        <v>7</v>
      </c>
      <c r="J6" s="1" t="n">
        <v>5</v>
      </c>
      <c r="K6" s="1" t="n">
        <v>68.7</v>
      </c>
      <c r="L6" s="1" t="n">
        <v>65.3</v>
      </c>
      <c r="M6" s="1" t="n">
        <v>2</v>
      </c>
      <c r="N6" s="1" t="s">
        <v>643</v>
      </c>
      <c r="O6" s="1" t="s">
        <v>644</v>
      </c>
      <c r="P6" s="1" t="s">
        <v>645</v>
      </c>
      <c r="Q6" s="1" t="n">
        <v>0.673</v>
      </c>
      <c r="S6" s="1" t="n">
        <v>1.004</v>
      </c>
      <c r="T6" s="1" t="n">
        <v>0.954</v>
      </c>
      <c r="U6" s="1" t="n">
        <f aca="false">S6-T6</f>
        <v>0.0499999999999999</v>
      </c>
      <c r="V6" s="1" t="n">
        <f aca="false">6/11</f>
        <v>0.5454545455</v>
      </c>
      <c r="W6" s="1" t="s">
        <v>559</v>
      </c>
    </row>
    <row r="7" customFormat="false" ht="12.75" hidden="false" customHeight="false" outlineLevel="0" collapsed="false">
      <c r="A7" s="1" t="s">
        <v>85</v>
      </c>
      <c r="B7" s="1" t="s">
        <v>630</v>
      </c>
      <c r="C7" s="1" t="n">
        <v>2</v>
      </c>
      <c r="E7" s="1" t="n">
        <v>0.666666667</v>
      </c>
      <c r="F7" s="1" t="n">
        <v>6</v>
      </c>
      <c r="G7" s="1" t="n">
        <v>0</v>
      </c>
      <c r="H7" s="1" t="n">
        <v>1</v>
      </c>
      <c r="I7" s="1" t="n">
        <v>5</v>
      </c>
      <c r="J7" s="1" t="n">
        <v>6</v>
      </c>
      <c r="K7" s="1" t="n">
        <v>68.1</v>
      </c>
      <c r="L7" s="1" t="n">
        <v>60</v>
      </c>
      <c r="M7" s="1" t="n">
        <v>3</v>
      </c>
      <c r="N7" s="1" t="s">
        <v>646</v>
      </c>
      <c r="O7" s="1" t="s">
        <v>647</v>
      </c>
      <c r="P7" s="1" t="s">
        <v>648</v>
      </c>
      <c r="Q7" s="1" t="n">
        <v>0.651</v>
      </c>
      <c r="S7" s="1" t="n">
        <v>1.002</v>
      </c>
      <c r="T7" s="1" t="n">
        <v>0.883</v>
      </c>
      <c r="U7" s="1" t="n">
        <f aca="false">S7-T7</f>
        <v>0.119</v>
      </c>
      <c r="V7" s="1" t="n">
        <f aca="false">4/10</f>
        <v>0.4</v>
      </c>
      <c r="W7" s="1" t="s">
        <v>85</v>
      </c>
    </row>
    <row r="8" customFormat="false" ht="12.75" hidden="false" customHeight="false" outlineLevel="0" collapsed="false">
      <c r="A8" s="1" t="s">
        <v>472</v>
      </c>
      <c r="B8" s="1" t="s">
        <v>630</v>
      </c>
      <c r="C8" s="1" t="n">
        <v>0</v>
      </c>
      <c r="E8" s="1" t="n">
        <v>0.586206897</v>
      </c>
      <c r="F8" s="1" t="n">
        <v>5</v>
      </c>
      <c r="G8" s="1" t="n">
        <v>0</v>
      </c>
      <c r="H8" s="1" t="n">
        <v>1</v>
      </c>
      <c r="I8" s="1" t="n">
        <v>4</v>
      </c>
      <c r="J8" s="1" t="n">
        <v>7</v>
      </c>
      <c r="K8" s="1" t="n">
        <v>74.2</v>
      </c>
      <c r="L8" s="1" t="n">
        <v>71.5</v>
      </c>
      <c r="M8" s="1" t="n">
        <v>1</v>
      </c>
      <c r="N8" s="1" t="s">
        <v>649</v>
      </c>
      <c r="O8" s="1" t="s">
        <v>650</v>
      </c>
      <c r="P8" s="1" t="s">
        <v>651</v>
      </c>
      <c r="Q8" s="1" t="n">
        <v>0.667</v>
      </c>
      <c r="S8" s="1" t="n">
        <v>0.996</v>
      </c>
      <c r="T8" s="1" t="n">
        <v>0.975</v>
      </c>
      <c r="U8" s="1" t="n">
        <f aca="false">S8-T8</f>
        <v>0.021</v>
      </c>
      <c r="V8" s="1" t="n">
        <f aca="false">0/3</f>
        <v>0</v>
      </c>
      <c r="W8" s="1" t="s">
        <v>472</v>
      </c>
    </row>
    <row r="9" customFormat="false" ht="12.75" hidden="false" customHeight="false" outlineLevel="0" collapsed="false">
      <c r="A9" s="1" t="s">
        <v>71</v>
      </c>
      <c r="B9" s="1" t="s">
        <v>630</v>
      </c>
      <c r="C9" s="1" t="n">
        <v>1</v>
      </c>
      <c r="E9" s="1" t="n">
        <v>0.696969697</v>
      </c>
      <c r="F9" s="1" t="n">
        <v>7</v>
      </c>
      <c r="G9" s="1" t="n">
        <v>1</v>
      </c>
      <c r="H9" s="1" t="n">
        <v>1</v>
      </c>
      <c r="I9" s="1" t="n">
        <v>7</v>
      </c>
      <c r="J9" s="1" t="n">
        <v>4</v>
      </c>
      <c r="K9" s="1" t="n">
        <v>72.1</v>
      </c>
      <c r="L9" s="1" t="n">
        <v>64.4</v>
      </c>
      <c r="M9" s="1" t="n">
        <v>3</v>
      </c>
      <c r="N9" s="1" t="s">
        <v>652</v>
      </c>
      <c r="O9" s="1" t="s">
        <v>653</v>
      </c>
      <c r="P9" s="1" t="s">
        <v>654</v>
      </c>
      <c r="Q9" s="1" t="n">
        <v>0.66</v>
      </c>
      <c r="S9" s="1" t="s">
        <v>655</v>
      </c>
      <c r="T9" s="1" t="n">
        <v>0.885</v>
      </c>
      <c r="U9" s="1" t="e">
        <f aca="false">S9-T9</f>
        <v>#VALUE!</v>
      </c>
      <c r="V9" s="1" t="n">
        <f aca="false">2/5</f>
        <v>0.4</v>
      </c>
      <c r="W9" s="1" t="s">
        <v>71</v>
      </c>
    </row>
    <row r="10" customFormat="false" ht="12.75" hidden="false" customHeight="false" outlineLevel="0" collapsed="false">
      <c r="A10" s="1" t="s">
        <v>69</v>
      </c>
      <c r="B10" s="1" t="s">
        <v>630</v>
      </c>
      <c r="C10" s="1" t="n">
        <v>2</v>
      </c>
      <c r="E10" s="1" t="n">
        <v>0.617647059</v>
      </c>
      <c r="F10" s="1" t="n">
        <v>4</v>
      </c>
      <c r="G10" s="1" t="n">
        <v>0</v>
      </c>
      <c r="H10" s="1" t="n">
        <v>1</v>
      </c>
      <c r="I10" s="1" t="n">
        <v>7</v>
      </c>
      <c r="J10" s="1" t="n">
        <v>8</v>
      </c>
      <c r="K10" s="1" t="n">
        <v>68.5</v>
      </c>
      <c r="L10" s="1" t="n">
        <v>65.7</v>
      </c>
      <c r="M10" s="1" t="n">
        <v>2</v>
      </c>
      <c r="N10" s="1" t="s">
        <v>656</v>
      </c>
      <c r="O10" s="1" t="s">
        <v>657</v>
      </c>
      <c r="P10" s="1" t="s">
        <v>658</v>
      </c>
      <c r="Q10" s="1" t="n">
        <v>0.671</v>
      </c>
      <c r="S10" s="1" t="n">
        <v>0.991</v>
      </c>
      <c r="T10" s="1" t="n">
        <v>0.95</v>
      </c>
      <c r="U10" s="1" t="n">
        <f aca="false">S10-T10</f>
        <v>0.0409999999999999</v>
      </c>
      <c r="V10" s="1" t="n">
        <f aca="false">0/3</f>
        <v>0</v>
      </c>
      <c r="W10" s="1" t="s">
        <v>69</v>
      </c>
    </row>
    <row r="11" customFormat="false" ht="12.75" hidden="false" customHeight="false" outlineLevel="0" collapsed="false">
      <c r="A11" s="1" t="s">
        <v>335</v>
      </c>
      <c r="B11" s="1" t="s">
        <v>630</v>
      </c>
      <c r="C11" s="1" t="n">
        <v>1</v>
      </c>
      <c r="E11" s="1" t="n">
        <v>0.787878788</v>
      </c>
      <c r="F11" s="1" t="n">
        <v>7</v>
      </c>
      <c r="G11" s="1" t="n">
        <v>0</v>
      </c>
      <c r="H11" s="1" t="n">
        <v>1</v>
      </c>
      <c r="I11" s="1" t="n">
        <v>9</v>
      </c>
      <c r="J11" s="1" t="n">
        <v>4</v>
      </c>
      <c r="K11" s="1" t="n">
        <v>73.5</v>
      </c>
      <c r="L11" s="1" t="n">
        <v>66.1</v>
      </c>
      <c r="M11" s="1" t="n">
        <v>3</v>
      </c>
      <c r="N11" s="1" t="s">
        <v>659</v>
      </c>
      <c r="O11" s="1" t="s">
        <v>660</v>
      </c>
      <c r="P11" s="1" t="s">
        <v>661</v>
      </c>
      <c r="Q11" s="1" t="n">
        <v>0.706</v>
      </c>
      <c r="S11" s="1" t="n">
        <v>1.065</v>
      </c>
      <c r="T11" s="1" t="n">
        <v>0.887</v>
      </c>
      <c r="U11" s="1" t="n">
        <f aca="false">S11-T11</f>
        <v>0.178</v>
      </c>
      <c r="V11" s="1" t="n">
        <f aca="false">3/5</f>
        <v>0.6</v>
      </c>
      <c r="W11" s="1" t="s">
        <v>335</v>
      </c>
    </row>
    <row r="12" customFormat="false" ht="12.75" hidden="false" customHeight="false" outlineLevel="0" collapsed="false">
      <c r="A12" s="1" t="s">
        <v>374</v>
      </c>
      <c r="B12" s="1" t="s">
        <v>630</v>
      </c>
      <c r="C12" s="1" t="n">
        <v>1</v>
      </c>
      <c r="E12" s="1" t="n">
        <v>0.606060606</v>
      </c>
      <c r="F12" s="1" t="n">
        <v>4</v>
      </c>
      <c r="G12" s="1" t="n">
        <v>0</v>
      </c>
      <c r="H12" s="1" t="n">
        <v>1</v>
      </c>
      <c r="I12" s="1" t="n">
        <v>5</v>
      </c>
      <c r="J12" s="1" t="n">
        <v>7</v>
      </c>
      <c r="K12" s="1" t="n">
        <v>77</v>
      </c>
      <c r="L12" s="1" t="n">
        <v>67.1</v>
      </c>
      <c r="M12" s="1" t="n">
        <v>2</v>
      </c>
      <c r="N12" s="1" t="s">
        <v>662</v>
      </c>
      <c r="O12" s="1" t="s">
        <v>663</v>
      </c>
      <c r="P12" s="1" t="s">
        <v>664</v>
      </c>
      <c r="Q12" s="1" t="n">
        <v>0.628</v>
      </c>
      <c r="S12" s="1" t="n">
        <v>1.019</v>
      </c>
      <c r="T12" s="1" t="n">
        <v>0.897</v>
      </c>
      <c r="U12" s="1" t="n">
        <f aca="false">S12-T12</f>
        <v>0.122</v>
      </c>
      <c r="V12" s="1" t="n">
        <f aca="false">3/7</f>
        <v>0.4285714286</v>
      </c>
      <c r="W12" s="1" t="s">
        <v>374</v>
      </c>
    </row>
    <row r="13" customFormat="false" ht="12.75" hidden="false" customHeight="false" outlineLevel="0" collapsed="false">
      <c r="A13" s="1" t="s">
        <v>665</v>
      </c>
      <c r="B13" s="1" t="s">
        <v>630</v>
      </c>
      <c r="C13" s="1" t="n">
        <v>3</v>
      </c>
      <c r="E13" s="1" t="n">
        <v>0.756756757</v>
      </c>
      <c r="F13" s="1" t="n">
        <v>7</v>
      </c>
      <c r="G13" s="1" t="n">
        <v>0</v>
      </c>
      <c r="H13" s="1" t="n">
        <v>1</v>
      </c>
      <c r="I13" s="1" t="n">
        <v>3</v>
      </c>
      <c r="J13" s="1" t="n">
        <v>8</v>
      </c>
      <c r="K13" s="1" t="n">
        <v>79</v>
      </c>
      <c r="L13" s="1" t="n">
        <v>65.4</v>
      </c>
      <c r="M13" s="1" t="n">
        <v>1</v>
      </c>
      <c r="N13" s="1" t="s">
        <v>666</v>
      </c>
      <c r="O13" s="1" t="s">
        <v>667</v>
      </c>
      <c r="P13" s="1" t="s">
        <v>668</v>
      </c>
      <c r="Q13" s="1" t="n">
        <v>0.631</v>
      </c>
      <c r="S13" s="1" t="n">
        <v>1.082</v>
      </c>
      <c r="T13" s="1" t="n">
        <v>0.895</v>
      </c>
      <c r="U13" s="1" t="n">
        <f aca="false">S13-T13</f>
        <v>0.187</v>
      </c>
      <c r="V13" s="1" t="n">
        <f aca="false">3/10</f>
        <v>0.3</v>
      </c>
      <c r="W13" s="1" t="s">
        <v>665</v>
      </c>
    </row>
    <row r="14" customFormat="false" ht="12.75" hidden="false" customHeight="false" outlineLevel="0" collapsed="false">
      <c r="A14" s="1" t="s">
        <v>84</v>
      </c>
      <c r="B14" s="1" t="s">
        <v>630</v>
      </c>
      <c r="C14" s="1" t="n">
        <v>0</v>
      </c>
      <c r="E14" s="1" t="n">
        <v>0.606060606</v>
      </c>
      <c r="F14" s="1" t="n">
        <v>7</v>
      </c>
      <c r="G14" s="1" t="n">
        <v>0</v>
      </c>
      <c r="H14" s="1" t="n">
        <v>0</v>
      </c>
      <c r="I14" s="1" t="n">
        <v>3</v>
      </c>
      <c r="J14" s="1" t="n">
        <v>5</v>
      </c>
      <c r="K14" s="1" t="n">
        <v>72</v>
      </c>
      <c r="L14" s="1" t="n">
        <v>68</v>
      </c>
      <c r="M14" s="1" t="n">
        <v>2</v>
      </c>
      <c r="N14" s="1" t="s">
        <v>669</v>
      </c>
      <c r="O14" s="1" t="s">
        <v>670</v>
      </c>
      <c r="P14" s="1" t="s">
        <v>671</v>
      </c>
      <c r="Q14" s="1" t="n">
        <v>0.663</v>
      </c>
      <c r="S14" s="1" t="n">
        <v>1.022</v>
      </c>
      <c r="T14" s="1" t="n">
        <v>0.966</v>
      </c>
      <c r="U14" s="1" t="n">
        <f aca="false">S14-T14</f>
        <v>0.0560000000000001</v>
      </c>
      <c r="V14" s="1" t="n">
        <f aca="false">2/6</f>
        <v>0.3333333333</v>
      </c>
      <c r="W14" s="1" t="s">
        <v>84</v>
      </c>
    </row>
    <row r="15" customFormat="false" ht="12.75" hidden="false" customHeight="false" outlineLevel="0" collapsed="false">
      <c r="A15" s="1" t="s">
        <v>399</v>
      </c>
      <c r="B15" s="1" t="s">
        <v>630</v>
      </c>
      <c r="C15" s="1" t="n">
        <v>0</v>
      </c>
      <c r="E15" s="1" t="n">
        <v>0.818181818</v>
      </c>
      <c r="F15" s="1" t="n">
        <v>6</v>
      </c>
      <c r="G15" s="1" t="n">
        <v>1</v>
      </c>
      <c r="H15" s="1" t="n">
        <v>0</v>
      </c>
      <c r="I15" s="1" t="n">
        <v>1</v>
      </c>
      <c r="J15" s="1" t="n">
        <v>1</v>
      </c>
      <c r="K15" s="1" t="n">
        <v>78.5</v>
      </c>
      <c r="L15" s="1" t="n">
        <v>67.1</v>
      </c>
      <c r="M15" s="1" t="n">
        <v>2</v>
      </c>
      <c r="N15" s="1" t="s">
        <v>672</v>
      </c>
      <c r="O15" s="1" t="s">
        <v>673</v>
      </c>
      <c r="P15" s="1" t="s">
        <v>674</v>
      </c>
      <c r="Q15" s="1" t="n">
        <v>0.681</v>
      </c>
      <c r="S15" s="1" t="n">
        <v>1.071</v>
      </c>
      <c r="T15" s="1" t="n">
        <v>0.917</v>
      </c>
      <c r="U15" s="1" t="n">
        <f aca="false">S15-T15</f>
        <v>0.154</v>
      </c>
      <c r="V15" s="1" t="n">
        <f aca="false">7/9</f>
        <v>0.7777777778</v>
      </c>
      <c r="W15" s="1" t="s">
        <v>399</v>
      </c>
    </row>
    <row r="16" customFormat="false" ht="12.75" hidden="false" customHeight="false" outlineLevel="0" collapsed="false">
      <c r="A16" s="1" t="s">
        <v>391</v>
      </c>
      <c r="B16" s="1" t="s">
        <v>630</v>
      </c>
      <c r="C16" s="1" t="n">
        <v>1</v>
      </c>
      <c r="E16" s="1" t="n">
        <v>0.806451613</v>
      </c>
      <c r="F16" s="1" t="n">
        <v>8</v>
      </c>
      <c r="G16" s="1" t="n">
        <v>1</v>
      </c>
      <c r="H16" s="1" t="n">
        <v>0</v>
      </c>
      <c r="I16" s="1" t="n">
        <v>1</v>
      </c>
      <c r="J16" s="1" t="n">
        <v>1</v>
      </c>
      <c r="K16" s="1" t="n">
        <v>63.4</v>
      </c>
      <c r="L16" s="1" t="n">
        <v>55.3</v>
      </c>
      <c r="M16" s="1" t="n">
        <v>1</v>
      </c>
      <c r="N16" s="1" t="s">
        <v>675</v>
      </c>
      <c r="O16" s="1" t="s">
        <v>676</v>
      </c>
      <c r="P16" s="1" t="s">
        <v>677</v>
      </c>
      <c r="Q16" s="1" t="n">
        <v>0.752</v>
      </c>
      <c r="S16" s="1" t="n">
        <v>1.054</v>
      </c>
      <c r="T16" s="1" t="n">
        <v>0.916</v>
      </c>
      <c r="U16" s="1" t="n">
        <f aca="false">S16-T16</f>
        <v>0.138</v>
      </c>
      <c r="W16" s="1" t="s">
        <v>391</v>
      </c>
    </row>
    <row r="17" customFormat="false" ht="12.75" hidden="false" customHeight="false" outlineLevel="0" collapsed="false">
      <c r="A17" s="1" t="s">
        <v>267</v>
      </c>
      <c r="B17" s="1" t="s">
        <v>630</v>
      </c>
      <c r="C17" s="1" t="n">
        <v>0</v>
      </c>
      <c r="E17" s="1" t="n">
        <v>0.71875</v>
      </c>
      <c r="F17" s="1" t="n">
        <v>6</v>
      </c>
      <c r="G17" s="1" t="n">
        <v>1</v>
      </c>
      <c r="H17" s="1" t="n">
        <v>0</v>
      </c>
      <c r="I17" s="1" t="n">
        <v>0</v>
      </c>
      <c r="J17" s="1" t="n">
        <v>1</v>
      </c>
      <c r="K17" s="1" t="n">
        <v>72.7</v>
      </c>
      <c r="L17" s="1" t="n">
        <v>63.9</v>
      </c>
      <c r="M17" s="1" t="n">
        <v>3</v>
      </c>
      <c r="N17" s="1" t="s">
        <v>678</v>
      </c>
      <c r="O17" s="1" t="s">
        <v>679</v>
      </c>
      <c r="P17" s="1" t="s">
        <v>680</v>
      </c>
      <c r="Q17" s="1" t="n">
        <v>0.707</v>
      </c>
      <c r="S17" s="1" t="n">
        <v>1.046</v>
      </c>
      <c r="T17" s="1" t="n">
        <v>0.933</v>
      </c>
      <c r="U17" s="1" t="n">
        <f aca="false">S17-T17</f>
        <v>0.113</v>
      </c>
      <c r="W17" s="1" t="s">
        <v>267</v>
      </c>
    </row>
    <row r="18" customFormat="false" ht="12.75" hidden="false" customHeight="false" outlineLevel="0" collapsed="false">
      <c r="A18" s="1" t="s">
        <v>681</v>
      </c>
      <c r="B18" s="1" t="s">
        <v>630</v>
      </c>
      <c r="C18" s="1" t="n">
        <v>0</v>
      </c>
      <c r="E18" s="1" t="n">
        <v>0.903225806</v>
      </c>
      <c r="F18" s="1" t="n">
        <v>9</v>
      </c>
      <c r="G18" s="1" t="n">
        <v>0</v>
      </c>
      <c r="H18" s="1" t="n">
        <v>0</v>
      </c>
      <c r="I18" s="1" t="n">
        <v>2</v>
      </c>
      <c r="J18" s="1" t="n">
        <v>1</v>
      </c>
      <c r="K18" s="1" t="n">
        <v>72.8</v>
      </c>
      <c r="L18" s="1" t="n">
        <v>59.2</v>
      </c>
      <c r="M18" s="1" t="n">
        <v>2</v>
      </c>
      <c r="N18" s="1" t="s">
        <v>682</v>
      </c>
      <c r="O18" s="1" t="s">
        <v>683</v>
      </c>
      <c r="P18" s="1" t="s">
        <v>684</v>
      </c>
      <c r="Q18" s="1" t="n">
        <v>0.706</v>
      </c>
      <c r="S18" s="1" t="n">
        <v>1.06</v>
      </c>
      <c r="T18" s="1" t="n">
        <v>0.875</v>
      </c>
      <c r="U18" s="1" t="n">
        <f aca="false">S18-T18</f>
        <v>0.185</v>
      </c>
      <c r="W18" s="1" t="s">
        <v>681</v>
      </c>
    </row>
    <row r="19" customFormat="false" ht="12.75" hidden="false" customHeight="false" outlineLevel="0" collapsed="false">
      <c r="A19" s="1" t="s">
        <v>319</v>
      </c>
      <c r="B19" s="1" t="s">
        <v>630</v>
      </c>
      <c r="C19" s="1" t="n">
        <v>0</v>
      </c>
      <c r="E19" s="1" t="n">
        <v>0.806451613</v>
      </c>
      <c r="F19" s="1" t="n">
        <v>9</v>
      </c>
      <c r="G19" s="1" t="n">
        <v>0</v>
      </c>
      <c r="H19" s="1" t="n">
        <v>0</v>
      </c>
      <c r="I19" s="1" t="n">
        <v>1</v>
      </c>
      <c r="J19" s="1" t="n">
        <v>1</v>
      </c>
      <c r="K19" s="1" t="n">
        <v>77.2</v>
      </c>
      <c r="L19" s="1" t="n">
        <v>67.7</v>
      </c>
      <c r="M19" s="1" t="n">
        <v>1</v>
      </c>
      <c r="N19" s="1" t="s">
        <v>685</v>
      </c>
      <c r="O19" s="1" t="s">
        <v>686</v>
      </c>
      <c r="P19" s="1" t="s">
        <v>687</v>
      </c>
      <c r="Q19" s="1" t="n">
        <v>0.726</v>
      </c>
      <c r="S19" s="1" t="n">
        <v>1.042</v>
      </c>
      <c r="T19" s="1" t="n">
        <v>0.914</v>
      </c>
      <c r="U19" s="1" t="n">
        <f aca="false">S19-T19</f>
        <v>0.128</v>
      </c>
      <c r="W19" s="1" t="s">
        <v>319</v>
      </c>
    </row>
    <row r="20" customFormat="false" ht="12.75" hidden="false" customHeight="false" outlineLevel="0" collapsed="false">
      <c r="A20" s="1" t="s">
        <v>86</v>
      </c>
      <c r="B20" s="1" t="s">
        <v>630</v>
      </c>
      <c r="C20" s="1" t="n">
        <v>5</v>
      </c>
      <c r="E20" s="1" t="n">
        <v>0.948717949</v>
      </c>
      <c r="F20" s="1" t="n">
        <v>9</v>
      </c>
      <c r="G20" s="1" t="n">
        <v>1</v>
      </c>
      <c r="H20" s="1" t="n">
        <v>1</v>
      </c>
      <c r="I20" s="1" t="n">
        <v>10</v>
      </c>
      <c r="J20" s="1" t="n">
        <v>1</v>
      </c>
      <c r="K20" s="1" t="n">
        <v>91.8</v>
      </c>
      <c r="L20" s="1" t="n">
        <v>67.2</v>
      </c>
      <c r="M20" s="1" t="n">
        <v>3</v>
      </c>
      <c r="N20" s="1" t="s">
        <v>688</v>
      </c>
      <c r="O20" s="1" t="s">
        <v>689</v>
      </c>
      <c r="P20" s="1" t="s">
        <v>690</v>
      </c>
      <c r="Q20" s="1" t="n">
        <v>0.705</v>
      </c>
      <c r="S20" s="1" t="n">
        <v>1.184</v>
      </c>
      <c r="T20" s="1" t="n">
        <v>0.866</v>
      </c>
      <c r="U20" s="1" t="n">
        <f aca="false">S20-T20</f>
        <v>0.318</v>
      </c>
      <c r="W20" s="1" t="s">
        <v>86</v>
      </c>
    </row>
    <row r="21" customFormat="false" ht="12.75" hidden="false" customHeight="false" outlineLevel="0" collapsed="false">
      <c r="A21" s="1" t="s">
        <v>24</v>
      </c>
      <c r="B21" s="1" t="s">
        <v>630</v>
      </c>
      <c r="C21" s="1" t="n">
        <v>3</v>
      </c>
      <c r="E21" s="1" t="n">
        <v>0.756756757</v>
      </c>
      <c r="F21" s="1" t="n">
        <v>7</v>
      </c>
      <c r="G21" s="1" t="n">
        <v>1</v>
      </c>
      <c r="H21" s="1" t="n">
        <v>1</v>
      </c>
      <c r="I21" s="1" t="n">
        <v>11</v>
      </c>
      <c r="J21" s="1" t="n">
        <v>6</v>
      </c>
      <c r="K21" s="1" t="n">
        <v>75.4</v>
      </c>
      <c r="L21" s="1" t="n">
        <v>62.7</v>
      </c>
      <c r="M21" s="1" t="n">
        <v>3</v>
      </c>
      <c r="N21" s="1" t="s">
        <v>691</v>
      </c>
      <c r="O21" s="1" t="s">
        <v>692</v>
      </c>
      <c r="P21" s="1" t="s">
        <v>693</v>
      </c>
      <c r="Q21" s="1" t="n">
        <v>0.639</v>
      </c>
      <c r="S21" s="1" t="n">
        <v>1.06</v>
      </c>
      <c r="T21" s="1" t="n">
        <v>0.882</v>
      </c>
      <c r="U21" s="1" t="n">
        <f aca="false">S21-T21</f>
        <v>0.178</v>
      </c>
      <c r="W21" s="1" t="s">
        <v>24</v>
      </c>
    </row>
    <row r="22" customFormat="false" ht="12.75" hidden="false" customHeight="false" outlineLevel="0" collapsed="false">
      <c r="A22" s="1" t="s">
        <v>330</v>
      </c>
      <c r="B22" s="1" t="s">
        <v>630</v>
      </c>
      <c r="C22" s="1" t="n">
        <v>1</v>
      </c>
      <c r="E22" s="1" t="n">
        <v>0.735294118</v>
      </c>
      <c r="F22" s="1" t="n">
        <v>7</v>
      </c>
      <c r="G22" s="1" t="n">
        <v>0</v>
      </c>
      <c r="H22" s="1" t="n">
        <v>0</v>
      </c>
      <c r="I22" s="1" t="n">
        <v>2</v>
      </c>
      <c r="J22" s="1" t="n">
        <v>5</v>
      </c>
      <c r="K22" s="1" t="n">
        <v>75.2</v>
      </c>
      <c r="L22" s="1" t="n">
        <v>67.8</v>
      </c>
      <c r="M22" s="1" t="n">
        <v>3</v>
      </c>
      <c r="N22" s="1" t="s">
        <v>694</v>
      </c>
      <c r="O22" s="1" t="s">
        <v>695</v>
      </c>
      <c r="P22" s="1" t="s">
        <v>696</v>
      </c>
      <c r="Q22" s="1" t="n">
        <v>0.751</v>
      </c>
      <c r="S22" s="1" t="n">
        <v>1.078</v>
      </c>
      <c r="T22" s="1" t="n">
        <v>0.972</v>
      </c>
      <c r="U22" s="1" t="n">
        <f aca="false">S22-T22</f>
        <v>0.106</v>
      </c>
      <c r="W22" s="1" t="s">
        <v>330</v>
      </c>
    </row>
    <row r="23" customFormat="false" ht="12.75" hidden="false" customHeight="false" outlineLevel="0" collapsed="false">
      <c r="A23" s="1" t="s">
        <v>81</v>
      </c>
      <c r="B23" s="1" t="s">
        <v>630</v>
      </c>
      <c r="C23" s="1" t="n">
        <v>0</v>
      </c>
      <c r="E23" s="1" t="n">
        <v>0.636363636</v>
      </c>
      <c r="F23" s="1" t="n">
        <v>5</v>
      </c>
      <c r="G23" s="1" t="n">
        <v>0</v>
      </c>
      <c r="H23" s="1" t="n">
        <v>1</v>
      </c>
      <c r="I23" s="1" t="n">
        <v>4</v>
      </c>
      <c r="J23" s="1" t="n">
        <v>6</v>
      </c>
      <c r="K23" s="1" t="n">
        <v>72.3</v>
      </c>
      <c r="L23" s="1" t="n">
        <v>63.2</v>
      </c>
      <c r="M23" s="1" t="n">
        <v>2</v>
      </c>
      <c r="N23" s="1" t="s">
        <v>697</v>
      </c>
      <c r="O23" s="1" t="s">
        <v>698</v>
      </c>
      <c r="P23" s="1" t="s">
        <v>699</v>
      </c>
      <c r="Q23" s="1" t="n">
        <v>0.663</v>
      </c>
      <c r="S23" s="1" t="n">
        <v>0.987</v>
      </c>
      <c r="T23" s="1" t="n">
        <v>0.874</v>
      </c>
      <c r="U23" s="1" t="n">
        <f aca="false">S23-T23</f>
        <v>0.113</v>
      </c>
      <c r="W23" s="1" t="s">
        <v>81</v>
      </c>
    </row>
    <row r="24" customFormat="false" ht="12.75" hidden="false" customHeight="false" outlineLevel="0" collapsed="false">
      <c r="A24" s="1" t="s">
        <v>258</v>
      </c>
      <c r="B24" s="1" t="s">
        <v>630</v>
      </c>
      <c r="C24" s="1" t="n">
        <v>1</v>
      </c>
      <c r="E24" s="1" t="n">
        <v>0.676470588</v>
      </c>
      <c r="F24" s="1" t="n">
        <v>7</v>
      </c>
      <c r="G24" s="1" t="n">
        <v>0</v>
      </c>
      <c r="H24" s="1" t="n">
        <v>1</v>
      </c>
      <c r="I24" s="1" t="n">
        <v>3</v>
      </c>
      <c r="J24" s="1" t="n">
        <v>8</v>
      </c>
      <c r="K24" s="1" t="n">
        <v>71.5</v>
      </c>
      <c r="L24" s="1" t="n">
        <v>63.1</v>
      </c>
      <c r="M24" s="1" t="n">
        <v>1</v>
      </c>
      <c r="N24" s="1" t="s">
        <v>700</v>
      </c>
      <c r="O24" s="1" t="s">
        <v>701</v>
      </c>
      <c r="P24" s="1" t="s">
        <v>702</v>
      </c>
      <c r="Q24" s="1" t="n">
        <v>0.701</v>
      </c>
      <c r="S24" s="1" t="n">
        <v>1.027</v>
      </c>
      <c r="T24" s="1" t="n">
        <v>0.923</v>
      </c>
      <c r="U24" s="1" t="n">
        <f aca="false">S24-T24</f>
        <v>0.104</v>
      </c>
      <c r="W24" s="1" t="s">
        <v>258</v>
      </c>
    </row>
    <row r="25" customFormat="false" ht="12.75" hidden="false" customHeight="false" outlineLevel="0" collapsed="false">
      <c r="A25" s="1" t="s">
        <v>321</v>
      </c>
      <c r="B25" s="1" t="s">
        <v>630</v>
      </c>
      <c r="C25" s="1" t="n">
        <v>0</v>
      </c>
      <c r="E25" s="1" t="n">
        <v>0.689655172</v>
      </c>
      <c r="F25" s="1" t="n">
        <v>6</v>
      </c>
      <c r="G25" s="1" t="n">
        <v>0</v>
      </c>
      <c r="H25" s="1" t="n">
        <v>0</v>
      </c>
      <c r="I25" s="1" t="n">
        <v>2</v>
      </c>
      <c r="J25" s="1" t="n">
        <v>5</v>
      </c>
      <c r="K25" s="1" t="n">
        <v>79.5</v>
      </c>
      <c r="L25" s="1" t="n">
        <v>74</v>
      </c>
      <c r="M25" s="1" t="n">
        <v>2</v>
      </c>
      <c r="N25" s="1" t="s">
        <v>703</v>
      </c>
      <c r="O25" s="1" t="s">
        <v>704</v>
      </c>
      <c r="P25" s="1" t="s">
        <v>705</v>
      </c>
      <c r="Q25" s="1" t="n">
        <v>0.723</v>
      </c>
      <c r="S25" s="1" t="s">
        <v>655</v>
      </c>
      <c r="T25" s="1" t="s">
        <v>655</v>
      </c>
      <c r="U25" s="1" t="e">
        <f aca="false">S25-T25</f>
        <v>#VALUE!</v>
      </c>
      <c r="W25" s="1" t="s">
        <v>321</v>
      </c>
    </row>
    <row r="26" customFormat="false" ht="12.75" hidden="false" customHeight="false" outlineLevel="0" collapsed="false">
      <c r="A26" s="1" t="s">
        <v>26</v>
      </c>
      <c r="B26" s="1" t="s">
        <v>630</v>
      </c>
      <c r="C26" s="1" t="n">
        <v>0</v>
      </c>
      <c r="E26" s="1" t="n">
        <v>0.75862069</v>
      </c>
      <c r="F26" s="1" t="n">
        <v>7</v>
      </c>
      <c r="G26" s="1" t="n">
        <v>0</v>
      </c>
      <c r="H26" s="1" t="n">
        <v>1</v>
      </c>
      <c r="I26" s="1" t="n">
        <v>5</v>
      </c>
      <c r="J26" s="1" t="n">
        <v>4</v>
      </c>
      <c r="K26" s="1" t="n">
        <v>82.6</v>
      </c>
      <c r="L26" s="1" t="n">
        <v>75.2</v>
      </c>
      <c r="M26" s="1" t="n">
        <v>3</v>
      </c>
      <c r="N26" s="1" t="s">
        <v>706</v>
      </c>
      <c r="O26" s="1" t="s">
        <v>707</v>
      </c>
      <c r="P26" s="1" t="s">
        <v>708</v>
      </c>
      <c r="Q26" s="1" t="n">
        <v>0.71</v>
      </c>
      <c r="S26" s="1" t="n">
        <v>1.059</v>
      </c>
      <c r="T26" s="1" t="n">
        <v>0.969</v>
      </c>
      <c r="U26" s="1" t="n">
        <f aca="false">S26-T26</f>
        <v>0.09</v>
      </c>
      <c r="W26" s="1" t="s">
        <v>26</v>
      </c>
    </row>
    <row r="27" customFormat="false" ht="12.75" hidden="false" customHeight="false" outlineLevel="0" collapsed="false">
      <c r="A27" s="1" t="s">
        <v>34</v>
      </c>
      <c r="B27" s="1" t="s">
        <v>630</v>
      </c>
      <c r="C27" s="1" t="n">
        <v>1</v>
      </c>
      <c r="E27" s="1" t="n">
        <v>0.818181818</v>
      </c>
      <c r="F27" s="1" t="n">
        <v>6</v>
      </c>
      <c r="G27" s="1" t="n">
        <v>0</v>
      </c>
      <c r="H27" s="1" t="n">
        <v>0</v>
      </c>
      <c r="I27" s="1" t="n">
        <v>8</v>
      </c>
      <c r="J27" s="1" t="n">
        <v>2</v>
      </c>
      <c r="K27" s="1" t="n">
        <v>73.9</v>
      </c>
      <c r="L27" s="1" t="n">
        <v>61.2</v>
      </c>
      <c r="M27" s="1" t="n">
        <v>3</v>
      </c>
      <c r="N27" s="1" t="s">
        <v>709</v>
      </c>
      <c r="O27" s="1" t="s">
        <v>710</v>
      </c>
      <c r="P27" s="1" t="s">
        <v>711</v>
      </c>
      <c r="Q27" s="1" t="n">
        <v>0.68</v>
      </c>
      <c r="S27" s="1" t="n">
        <v>1.05</v>
      </c>
      <c r="T27" s="1" t="n">
        <v>0.87</v>
      </c>
      <c r="U27" s="1" t="n">
        <f aca="false">S27-T27</f>
        <v>0.18</v>
      </c>
      <c r="W27" s="1" t="s">
        <v>34</v>
      </c>
    </row>
    <row r="28" customFormat="false" ht="12.75" hidden="false" customHeight="false" outlineLevel="0" collapsed="false">
      <c r="A28" s="1" t="s">
        <v>206</v>
      </c>
      <c r="B28" s="1" t="s">
        <v>630</v>
      </c>
      <c r="C28" s="1" t="n">
        <v>1</v>
      </c>
      <c r="E28" s="1" t="n">
        <v>0.848484848</v>
      </c>
      <c r="F28" s="1" t="n">
        <v>9</v>
      </c>
      <c r="G28" s="1" t="n">
        <v>1</v>
      </c>
      <c r="H28" s="1" t="n">
        <v>0</v>
      </c>
      <c r="I28" s="1" t="n">
        <v>5</v>
      </c>
      <c r="J28" s="1" t="n">
        <v>3</v>
      </c>
      <c r="K28" s="1" t="n">
        <v>71.6</v>
      </c>
      <c r="L28" s="1" t="n">
        <v>55.7</v>
      </c>
      <c r="M28" s="1" t="n">
        <v>3</v>
      </c>
      <c r="N28" s="1" t="s">
        <v>712</v>
      </c>
      <c r="O28" s="1" t="s">
        <v>713</v>
      </c>
      <c r="P28" s="1" t="s">
        <v>714</v>
      </c>
      <c r="Q28" s="1" t="n">
        <v>0.699</v>
      </c>
      <c r="S28" s="1" t="s">
        <v>655</v>
      </c>
      <c r="T28" s="1" t="n">
        <v>0.874</v>
      </c>
      <c r="U28" s="1" t="e">
        <f aca="false">S28-T28</f>
        <v>#VALUE!</v>
      </c>
      <c r="W28" s="1" t="s">
        <v>206</v>
      </c>
    </row>
    <row r="29" customFormat="false" ht="12.75" hidden="false" customHeight="false" outlineLevel="0" collapsed="false">
      <c r="A29" s="1" t="s">
        <v>111</v>
      </c>
      <c r="B29" s="1" t="s">
        <v>630</v>
      </c>
      <c r="C29" s="1" t="n">
        <v>2</v>
      </c>
      <c r="E29" s="1" t="n">
        <v>0.823529412</v>
      </c>
      <c r="F29" s="1" t="n">
        <v>8</v>
      </c>
      <c r="G29" s="1" t="n">
        <v>0</v>
      </c>
      <c r="H29" s="1" t="n">
        <v>1</v>
      </c>
      <c r="I29" s="1" t="n">
        <v>4</v>
      </c>
      <c r="J29" s="1" t="n">
        <v>4</v>
      </c>
      <c r="K29" s="1" t="n">
        <v>84.5</v>
      </c>
      <c r="L29" s="1" t="n">
        <v>66.4</v>
      </c>
      <c r="M29" s="1" t="n">
        <v>3</v>
      </c>
      <c r="N29" s="1" t="s">
        <v>715</v>
      </c>
      <c r="O29" s="1" t="s">
        <v>716</v>
      </c>
      <c r="P29" s="1" t="s">
        <v>717</v>
      </c>
      <c r="Q29" s="1" t="n">
        <v>0.701</v>
      </c>
      <c r="S29" s="1" t="n">
        <v>1.072</v>
      </c>
      <c r="T29" s="1" t="n">
        <v>0.906</v>
      </c>
      <c r="U29" s="1" t="n">
        <f aca="false">S29-T29</f>
        <v>0.166</v>
      </c>
      <c r="W29" s="1" t="s">
        <v>111</v>
      </c>
    </row>
    <row r="30" customFormat="false" ht="12.75" hidden="false" customHeight="false" outlineLevel="0" collapsed="false">
      <c r="A30" s="1" t="s">
        <v>67</v>
      </c>
      <c r="B30" s="1" t="s">
        <v>630</v>
      </c>
      <c r="C30" s="1" t="n">
        <v>1</v>
      </c>
      <c r="E30" s="1" t="n">
        <v>0.676470588</v>
      </c>
      <c r="F30" s="1" t="n">
        <v>6</v>
      </c>
      <c r="G30" s="1" t="n">
        <v>0</v>
      </c>
      <c r="H30" s="1" t="n">
        <v>1</v>
      </c>
      <c r="I30" s="1" t="n">
        <v>5</v>
      </c>
      <c r="J30" s="1" t="n">
        <v>7</v>
      </c>
      <c r="K30" s="1" t="n">
        <v>78.7</v>
      </c>
      <c r="L30" s="1" t="n">
        <v>71.9</v>
      </c>
      <c r="M30" s="1" t="n">
        <v>2</v>
      </c>
      <c r="N30" s="1" t="s">
        <v>718</v>
      </c>
      <c r="O30" s="1" t="s">
        <v>719</v>
      </c>
      <c r="P30" s="1" t="s">
        <v>720</v>
      </c>
      <c r="Q30" s="1" t="n">
        <v>0.663</v>
      </c>
      <c r="S30" s="1" t="n">
        <v>1.042</v>
      </c>
      <c r="T30" s="1" t="n">
        <v>0.952</v>
      </c>
      <c r="U30" s="1" t="n">
        <f aca="false">S30-T30</f>
        <v>0.09</v>
      </c>
      <c r="W30" s="1" t="s">
        <v>67</v>
      </c>
    </row>
    <row r="31" customFormat="false" ht="12.75" hidden="false" customHeight="false" outlineLevel="0" collapsed="false">
      <c r="A31" s="1" t="s">
        <v>202</v>
      </c>
      <c r="B31" s="1" t="s">
        <v>630</v>
      </c>
      <c r="C31" s="1" t="n">
        <v>3</v>
      </c>
      <c r="E31" s="1" t="n">
        <v>0.685714286</v>
      </c>
      <c r="F31" s="1" t="n">
        <v>7</v>
      </c>
      <c r="G31" s="1" t="n">
        <v>0</v>
      </c>
      <c r="H31" s="1" t="n">
        <v>0</v>
      </c>
      <c r="I31" s="1" t="n">
        <v>5</v>
      </c>
      <c r="J31" s="1" t="n">
        <v>5</v>
      </c>
      <c r="K31" s="1" t="n">
        <v>66.6</v>
      </c>
      <c r="L31" s="1" t="n">
        <v>58.5</v>
      </c>
      <c r="M31" s="1" t="n">
        <v>3</v>
      </c>
      <c r="N31" s="1" t="s">
        <v>721</v>
      </c>
      <c r="O31" s="1" t="s">
        <v>722</v>
      </c>
      <c r="P31" s="1" t="s">
        <v>723</v>
      </c>
      <c r="Q31" s="1" t="n">
        <v>0.654</v>
      </c>
      <c r="S31" s="1" t="n">
        <v>1.047</v>
      </c>
      <c r="T31" s="1" t="n">
        <v>0.92</v>
      </c>
      <c r="U31" s="1" t="n">
        <f aca="false">S31-T31</f>
        <v>0.127</v>
      </c>
      <c r="W31" s="1" t="s">
        <v>202</v>
      </c>
    </row>
    <row r="32" customFormat="false" ht="12.75" hidden="false" customHeight="false" outlineLevel="0" collapsed="false">
      <c r="A32" s="1" t="s">
        <v>336</v>
      </c>
      <c r="B32" s="1" t="s">
        <v>630</v>
      </c>
      <c r="C32" s="1" t="n">
        <v>1</v>
      </c>
      <c r="E32" s="1" t="n">
        <v>0.7</v>
      </c>
      <c r="F32" s="1" t="n">
        <v>7</v>
      </c>
      <c r="G32" s="1" t="n">
        <v>0</v>
      </c>
      <c r="H32" s="1" t="n">
        <v>1</v>
      </c>
      <c r="I32" s="1" t="n">
        <v>4</v>
      </c>
      <c r="J32" s="1" t="n">
        <v>5</v>
      </c>
      <c r="K32" s="1" t="n">
        <v>72.6</v>
      </c>
      <c r="L32" s="1" t="n">
        <v>65</v>
      </c>
      <c r="M32" s="1" t="n">
        <v>1</v>
      </c>
      <c r="N32" s="1" t="s">
        <v>724</v>
      </c>
      <c r="O32" s="1" t="s">
        <v>725</v>
      </c>
      <c r="P32" s="1" t="s">
        <v>726</v>
      </c>
      <c r="Q32" s="1" t="n">
        <v>0.696</v>
      </c>
      <c r="S32" s="1" t="n">
        <v>0.986</v>
      </c>
      <c r="T32" s="1" t="n">
        <v>0.883</v>
      </c>
      <c r="U32" s="1" t="n">
        <f aca="false">S32-T32</f>
        <v>0.103</v>
      </c>
      <c r="W32" s="1" t="s">
        <v>336</v>
      </c>
    </row>
    <row r="33" customFormat="false" ht="12.75" hidden="false" customHeight="false" outlineLevel="0" collapsed="false">
      <c r="A33" s="1" t="s">
        <v>727</v>
      </c>
      <c r="B33" s="1" t="s">
        <v>630</v>
      </c>
      <c r="C33" s="1" t="n">
        <v>0</v>
      </c>
      <c r="E33" s="1" t="n">
        <v>0.6875</v>
      </c>
      <c r="F33" s="1" t="n">
        <v>3</v>
      </c>
      <c r="G33" s="1" t="n">
        <v>0</v>
      </c>
      <c r="H33" s="1" t="n">
        <v>1</v>
      </c>
      <c r="I33" s="1" t="n">
        <v>8</v>
      </c>
      <c r="J33" s="1" t="n">
        <v>6</v>
      </c>
      <c r="K33" s="1" t="n">
        <v>62.1</v>
      </c>
      <c r="L33" s="1" t="n">
        <v>55.2</v>
      </c>
      <c r="M33" s="1" t="n">
        <v>1</v>
      </c>
      <c r="N33" s="1" t="s">
        <v>728</v>
      </c>
      <c r="O33" s="1" t="s">
        <v>729</v>
      </c>
      <c r="P33" s="1" t="s">
        <v>730</v>
      </c>
      <c r="Q33" s="1" t="n">
        <v>0.74</v>
      </c>
      <c r="S33" s="1" t="n">
        <v>0.999</v>
      </c>
      <c r="T33" s="1" t="n">
        <v>0.888</v>
      </c>
      <c r="U33" s="1" t="n">
        <f aca="false">S33-T33</f>
        <v>0.111</v>
      </c>
      <c r="W33" s="1" t="s">
        <v>727</v>
      </c>
    </row>
    <row r="34" customFormat="false" ht="12.75" hidden="false" customHeight="false" outlineLevel="0" collapsed="false">
      <c r="A34" s="1" t="s">
        <v>33</v>
      </c>
      <c r="B34" s="1" t="s">
        <v>630</v>
      </c>
      <c r="C34" s="1" t="n">
        <v>0</v>
      </c>
      <c r="E34" s="1" t="n">
        <v>0.59375</v>
      </c>
      <c r="F34" s="1" t="n">
        <v>6</v>
      </c>
      <c r="G34" s="1" t="n">
        <v>0</v>
      </c>
      <c r="H34" s="1" t="n">
        <v>1</v>
      </c>
      <c r="I34" s="1" t="n">
        <v>4</v>
      </c>
      <c r="J34" s="1" t="n">
        <v>6</v>
      </c>
      <c r="K34" s="1" t="n">
        <v>68.4</v>
      </c>
      <c r="L34" s="1" t="n">
        <v>64.9</v>
      </c>
      <c r="M34" s="1" t="n">
        <v>2</v>
      </c>
      <c r="N34" s="1" t="s">
        <v>731</v>
      </c>
      <c r="O34" s="1" t="s">
        <v>732</v>
      </c>
      <c r="P34" s="1" t="s">
        <v>733</v>
      </c>
      <c r="Q34" s="1" t="n">
        <v>0.65</v>
      </c>
      <c r="S34" s="1" t="n">
        <v>0.967</v>
      </c>
      <c r="T34" s="1" t="n">
        <v>0.917</v>
      </c>
      <c r="U34" s="1" t="n">
        <f aca="false">S34-T34</f>
        <v>0.0499999999999999</v>
      </c>
      <c r="W34" s="1" t="s">
        <v>33</v>
      </c>
    </row>
    <row r="35" customFormat="false" ht="12.75" hidden="false" customHeight="false" outlineLevel="0" collapsed="false">
      <c r="A35" s="1" t="s">
        <v>734</v>
      </c>
      <c r="B35" s="1" t="s">
        <v>630</v>
      </c>
      <c r="C35" s="1" t="n">
        <v>0</v>
      </c>
      <c r="E35" s="1" t="n">
        <v>0.620689655</v>
      </c>
      <c r="F35" s="1" t="n">
        <v>5</v>
      </c>
      <c r="G35" s="1" t="n">
        <v>1</v>
      </c>
      <c r="H35" s="1" t="n">
        <v>0</v>
      </c>
      <c r="I35" s="1" t="n">
        <v>0</v>
      </c>
      <c r="J35" s="1" t="n">
        <v>1</v>
      </c>
      <c r="K35" s="1" t="n">
        <v>77.5</v>
      </c>
      <c r="L35" s="1" t="n">
        <v>75.4</v>
      </c>
      <c r="M35" s="1" t="n">
        <v>0</v>
      </c>
      <c r="N35" s="1" t="s">
        <v>735</v>
      </c>
      <c r="O35" s="1" t="s">
        <v>736</v>
      </c>
      <c r="P35" s="1" t="s">
        <v>737</v>
      </c>
      <c r="Q35" s="1" t="n">
        <v>0.616</v>
      </c>
      <c r="S35" s="1" t="s">
        <v>655</v>
      </c>
      <c r="T35" s="1" t="s">
        <v>655</v>
      </c>
      <c r="U35" s="1" t="e">
        <f aca="false">S35-T35</f>
        <v>#VALUE!</v>
      </c>
      <c r="W35" s="1" t="s">
        <v>734</v>
      </c>
    </row>
    <row r="36" customFormat="false" ht="12.75" hidden="false" customHeight="false" outlineLevel="0" collapsed="false">
      <c r="A36" s="1" t="s">
        <v>204</v>
      </c>
      <c r="B36" s="1" t="s">
        <v>630</v>
      </c>
      <c r="C36" s="1" t="n">
        <v>1</v>
      </c>
      <c r="E36" s="1" t="n">
        <v>0.696969697</v>
      </c>
      <c r="F36" s="1" t="n">
        <v>6</v>
      </c>
      <c r="G36" s="1" t="n">
        <v>0</v>
      </c>
      <c r="H36" s="1" t="n">
        <v>0</v>
      </c>
      <c r="I36" s="1" t="n">
        <v>1</v>
      </c>
      <c r="J36" s="1" t="n">
        <v>3</v>
      </c>
      <c r="K36" s="1" t="n">
        <v>70.3</v>
      </c>
      <c r="L36" s="1" t="n">
        <v>64</v>
      </c>
      <c r="M36" s="1" t="n">
        <v>2</v>
      </c>
      <c r="N36" s="1" t="s">
        <v>738</v>
      </c>
      <c r="O36" s="1" t="s">
        <v>739</v>
      </c>
      <c r="P36" s="1" t="s">
        <v>740</v>
      </c>
      <c r="Q36" s="1" t="n">
        <v>0.659</v>
      </c>
      <c r="S36" s="1" t="n">
        <v>0.996</v>
      </c>
      <c r="T36" s="1" t="n">
        <v>0.907</v>
      </c>
      <c r="U36" s="1" t="n">
        <f aca="false">S36-T36</f>
        <v>0.089</v>
      </c>
      <c r="W36" s="1" t="s">
        <v>204</v>
      </c>
    </row>
    <row r="37" customFormat="false" ht="12.75" hidden="false" customHeight="false" outlineLevel="0" collapsed="false">
      <c r="A37" s="1" t="s">
        <v>550</v>
      </c>
      <c r="B37" s="1" t="s">
        <v>630</v>
      </c>
      <c r="C37" s="1" t="n">
        <v>0</v>
      </c>
      <c r="E37" s="1" t="n">
        <v>0.766666667</v>
      </c>
      <c r="F37" s="1" t="n">
        <v>8</v>
      </c>
      <c r="G37" s="1" t="n">
        <v>1</v>
      </c>
      <c r="H37" s="1" t="n">
        <v>0</v>
      </c>
      <c r="I37" s="1" t="n">
        <v>3</v>
      </c>
      <c r="J37" s="1" t="n">
        <v>1</v>
      </c>
      <c r="K37" s="1" t="n">
        <v>71.9</v>
      </c>
      <c r="L37" s="1" t="n">
        <v>63.5</v>
      </c>
      <c r="M37" s="1" t="n">
        <v>0</v>
      </c>
      <c r="N37" s="1" t="s">
        <v>741</v>
      </c>
      <c r="O37" s="1" t="s">
        <v>742</v>
      </c>
      <c r="P37" s="1" t="s">
        <v>743</v>
      </c>
      <c r="Q37" s="1" t="n">
        <v>0.684</v>
      </c>
      <c r="S37" s="1" t="n">
        <v>0.987</v>
      </c>
      <c r="T37" s="1" t="n">
        <v>0.922</v>
      </c>
      <c r="U37" s="1" t="n">
        <f aca="false">S37-T37</f>
        <v>0.065</v>
      </c>
      <c r="W37" s="1" t="s">
        <v>550</v>
      </c>
    </row>
    <row r="38" customFormat="false" ht="12.75" hidden="false" customHeight="false" outlineLevel="0" collapsed="false">
      <c r="A38" s="1" t="s">
        <v>744</v>
      </c>
      <c r="B38" s="1" t="s">
        <v>630</v>
      </c>
      <c r="C38" s="1" t="n">
        <v>2</v>
      </c>
      <c r="E38" s="1" t="n">
        <v>0.666666667</v>
      </c>
      <c r="F38" s="1" t="n">
        <v>6</v>
      </c>
      <c r="G38" s="1" t="n">
        <v>0</v>
      </c>
      <c r="H38" s="1" t="n">
        <v>0</v>
      </c>
      <c r="I38" s="1" t="n">
        <v>1</v>
      </c>
      <c r="J38" s="1" t="n">
        <v>6</v>
      </c>
      <c r="K38" s="1" t="n">
        <v>73.2</v>
      </c>
      <c r="L38" s="1" t="n">
        <v>65.8</v>
      </c>
      <c r="M38" s="1" t="n">
        <v>0</v>
      </c>
      <c r="N38" s="1" t="s">
        <v>745</v>
      </c>
      <c r="O38" s="1" t="s">
        <v>746</v>
      </c>
      <c r="P38" s="1" t="s">
        <v>747</v>
      </c>
      <c r="Q38" s="1" t="n">
        <v>0.711</v>
      </c>
      <c r="S38" s="1" t="n">
        <v>1.023</v>
      </c>
      <c r="T38" s="1" t="n">
        <v>0.921</v>
      </c>
      <c r="U38" s="1" t="n">
        <f aca="false">S38-T38</f>
        <v>0.102</v>
      </c>
      <c r="W38" s="1" t="s">
        <v>748</v>
      </c>
    </row>
    <row r="39" customFormat="false" ht="12.75" hidden="false" customHeight="false" outlineLevel="0" collapsed="false">
      <c r="A39" s="1" t="s">
        <v>457</v>
      </c>
      <c r="B39" s="1" t="s">
        <v>630</v>
      </c>
      <c r="C39" s="1" t="n">
        <v>0</v>
      </c>
      <c r="E39" s="1" t="n">
        <v>0.633333333</v>
      </c>
      <c r="F39" s="1" t="n">
        <v>9</v>
      </c>
      <c r="G39" s="1" t="n">
        <v>1</v>
      </c>
      <c r="H39" s="1" t="n">
        <v>0</v>
      </c>
      <c r="I39" s="1" t="n">
        <v>0</v>
      </c>
      <c r="J39" s="1" t="n">
        <v>3</v>
      </c>
      <c r="K39" s="1" t="n">
        <v>73.8</v>
      </c>
      <c r="L39" s="1" t="n">
        <v>67.7</v>
      </c>
      <c r="M39" s="1" t="n">
        <v>0</v>
      </c>
      <c r="N39" s="1" t="s">
        <v>749</v>
      </c>
      <c r="O39" s="1" t="s">
        <v>650</v>
      </c>
      <c r="P39" s="1" t="s">
        <v>750</v>
      </c>
      <c r="Q39" s="1" t="n">
        <v>0.613</v>
      </c>
      <c r="S39" s="1" t="n">
        <v>1.007</v>
      </c>
      <c r="T39" s="1" t="n">
        <v>0.933</v>
      </c>
      <c r="U39" s="1" t="n">
        <f aca="false">S39-T39</f>
        <v>0.0739999999999998</v>
      </c>
      <c r="W39" s="1" t="s">
        <v>457</v>
      </c>
    </row>
    <row r="40" customFormat="false" ht="12.75" hidden="false" customHeight="false" outlineLevel="0" collapsed="false">
      <c r="A40" s="1" t="s">
        <v>250</v>
      </c>
      <c r="B40" s="1" t="s">
        <v>630</v>
      </c>
      <c r="C40" s="1" t="n">
        <v>0</v>
      </c>
      <c r="E40" s="1" t="n">
        <v>0.733333333</v>
      </c>
      <c r="F40" s="1" t="n">
        <v>8</v>
      </c>
      <c r="G40" s="1" t="n">
        <v>0</v>
      </c>
      <c r="H40" s="1" t="n">
        <v>0</v>
      </c>
      <c r="I40" s="1" t="n">
        <v>0</v>
      </c>
      <c r="J40" s="1" t="n">
        <v>3</v>
      </c>
      <c r="K40" s="1" t="n">
        <v>72.2</v>
      </c>
      <c r="L40" s="1" t="n">
        <v>66.2</v>
      </c>
      <c r="M40" s="1" t="n">
        <v>0</v>
      </c>
      <c r="N40" s="1" t="s">
        <v>751</v>
      </c>
      <c r="O40" s="1" t="s">
        <v>752</v>
      </c>
      <c r="P40" s="1" t="s">
        <v>753</v>
      </c>
      <c r="Q40" s="1" t="n">
        <v>0.703</v>
      </c>
      <c r="S40" s="1" t="n">
        <v>0.991</v>
      </c>
      <c r="T40" s="1" t="n">
        <v>0.928</v>
      </c>
      <c r="U40" s="1" t="n">
        <f aca="false">S40-T40</f>
        <v>0.0629999999999999</v>
      </c>
      <c r="W40" s="1" t="s">
        <v>250</v>
      </c>
    </row>
    <row r="41" customFormat="false" ht="12.75" hidden="false" customHeight="false" outlineLevel="0" collapsed="false">
      <c r="A41" s="1" t="s">
        <v>533</v>
      </c>
      <c r="B41" s="1" t="s">
        <v>630</v>
      </c>
      <c r="C41" s="1" t="n">
        <v>0</v>
      </c>
      <c r="E41" s="1" t="n">
        <v>0.387096774</v>
      </c>
      <c r="F41" s="1" t="n">
        <v>6</v>
      </c>
      <c r="G41" s="1" t="n">
        <v>1</v>
      </c>
      <c r="H41" s="1" t="n">
        <v>0</v>
      </c>
      <c r="I41" s="1" t="n">
        <v>0</v>
      </c>
      <c r="J41" s="1" t="n">
        <v>1</v>
      </c>
      <c r="K41" s="1" t="n">
        <v>72.6</v>
      </c>
      <c r="L41" s="1" t="n">
        <v>77.5</v>
      </c>
      <c r="M41" s="1" t="n">
        <v>0</v>
      </c>
      <c r="N41" s="1" t="s">
        <v>754</v>
      </c>
      <c r="O41" s="1" t="s">
        <v>755</v>
      </c>
      <c r="P41" s="1" t="s">
        <v>756</v>
      </c>
      <c r="Q41" s="1" t="n">
        <v>0.624</v>
      </c>
      <c r="S41" s="1" t="n">
        <v>0.954</v>
      </c>
      <c r="T41" s="1" t="n">
        <v>1.018</v>
      </c>
      <c r="U41" s="1" t="n">
        <f aca="false">S41-T41</f>
        <v>-0.0639999999999999</v>
      </c>
      <c r="W41" s="1" t="s">
        <v>533</v>
      </c>
    </row>
    <row r="42" customFormat="false" ht="12.75" hidden="false" customHeight="false" outlineLevel="0" collapsed="false">
      <c r="A42" s="1" t="s">
        <v>135</v>
      </c>
      <c r="B42" s="1" t="s">
        <v>630</v>
      </c>
      <c r="C42" s="1" t="n">
        <v>0</v>
      </c>
      <c r="E42" s="1" t="n">
        <v>0.65625</v>
      </c>
      <c r="F42" s="1" t="n">
        <v>5</v>
      </c>
      <c r="G42" s="1" t="n">
        <v>0</v>
      </c>
      <c r="H42" s="1" t="n">
        <v>1</v>
      </c>
      <c r="I42" s="1" t="n">
        <v>6</v>
      </c>
      <c r="J42" s="1" t="n">
        <v>5</v>
      </c>
      <c r="K42" s="1" t="n">
        <v>75</v>
      </c>
      <c r="L42" s="1" t="n">
        <v>70.7</v>
      </c>
      <c r="M42" s="1" t="n">
        <v>2</v>
      </c>
      <c r="N42" s="1" t="s">
        <v>757</v>
      </c>
      <c r="O42" s="1" t="s">
        <v>758</v>
      </c>
      <c r="P42" s="1" t="s">
        <v>759</v>
      </c>
      <c r="Q42" s="1" t="n">
        <v>0.732</v>
      </c>
      <c r="S42" s="1" t="n">
        <v>1.037</v>
      </c>
      <c r="T42" s="1" t="n">
        <v>0.98</v>
      </c>
      <c r="U42" s="1" t="n">
        <f aca="false">S42-T42</f>
        <v>0.0569999999999999</v>
      </c>
      <c r="W42" s="1" t="s">
        <v>135</v>
      </c>
    </row>
    <row r="43" customFormat="false" ht="12.75" hidden="false" customHeight="false" outlineLevel="0" collapsed="false">
      <c r="A43" s="1" t="s">
        <v>760</v>
      </c>
      <c r="B43" s="1" t="s">
        <v>630</v>
      </c>
      <c r="C43" s="1" t="n">
        <v>2</v>
      </c>
      <c r="E43" s="1" t="n">
        <v>0.75</v>
      </c>
      <c r="F43" s="1" t="n">
        <v>6</v>
      </c>
      <c r="G43" s="1" t="n">
        <v>0</v>
      </c>
      <c r="H43" s="1" t="n">
        <v>0</v>
      </c>
      <c r="I43" s="1" t="n">
        <v>2</v>
      </c>
      <c r="J43" s="1" t="n">
        <v>2</v>
      </c>
      <c r="K43" s="1" t="n">
        <v>67.6</v>
      </c>
      <c r="L43" s="1" t="n">
        <v>60.4</v>
      </c>
      <c r="M43" s="1" t="n">
        <v>1</v>
      </c>
      <c r="N43" s="1" t="s">
        <v>761</v>
      </c>
      <c r="O43" s="1" t="s">
        <v>762</v>
      </c>
      <c r="P43" s="1" t="s">
        <v>763</v>
      </c>
      <c r="Q43" s="1" t="n">
        <v>0.765</v>
      </c>
      <c r="S43" s="1" t="n">
        <v>1.04</v>
      </c>
      <c r="T43" s="1" t="n">
        <v>0.929</v>
      </c>
      <c r="U43" s="1" t="n">
        <f aca="false">S43-T43</f>
        <v>0.111</v>
      </c>
      <c r="W43" s="1" t="s">
        <v>760</v>
      </c>
    </row>
    <row r="44" customFormat="false" ht="12.75" hidden="false" customHeight="false" outlineLevel="0" collapsed="false">
      <c r="A44" s="1" t="s">
        <v>764</v>
      </c>
      <c r="B44" s="1" t="s">
        <v>630</v>
      </c>
      <c r="C44" s="1" t="n">
        <v>0</v>
      </c>
      <c r="E44" s="1" t="n">
        <v>0.696969697</v>
      </c>
      <c r="F44" s="1" t="n">
        <v>6</v>
      </c>
      <c r="G44" s="1" t="n">
        <v>0</v>
      </c>
      <c r="H44" s="1" t="n">
        <v>0</v>
      </c>
      <c r="I44" s="1" t="n">
        <v>3</v>
      </c>
      <c r="J44" s="1" t="n">
        <v>2</v>
      </c>
      <c r="K44" s="1" t="n">
        <v>75.8</v>
      </c>
      <c r="L44" s="1" t="n">
        <v>71.8</v>
      </c>
      <c r="M44" s="1" t="n">
        <v>0</v>
      </c>
      <c r="N44" s="1" t="s">
        <v>765</v>
      </c>
      <c r="O44" s="1" t="s">
        <v>766</v>
      </c>
      <c r="P44" s="1" t="s">
        <v>767</v>
      </c>
      <c r="Q44" s="1" t="n">
        <v>0.772</v>
      </c>
      <c r="S44" s="1" t="n">
        <v>1.051</v>
      </c>
      <c r="T44" s="1" t="n">
        <v>1.02</v>
      </c>
      <c r="U44" s="1" t="n">
        <f aca="false">S44-T44</f>
        <v>0.0309999999999999</v>
      </c>
      <c r="W44" s="1" t="s">
        <v>764</v>
      </c>
    </row>
    <row r="45" customFormat="false" ht="12.75" hidden="false" customHeight="false" outlineLevel="0" collapsed="false">
      <c r="A45" s="1" t="s">
        <v>254</v>
      </c>
      <c r="B45" s="1" t="s">
        <v>630</v>
      </c>
      <c r="C45" s="1" t="n">
        <v>0</v>
      </c>
      <c r="E45" s="1" t="n">
        <v>0.696969697</v>
      </c>
      <c r="F45" s="1" t="n">
        <v>7</v>
      </c>
      <c r="G45" s="1" t="n">
        <v>0</v>
      </c>
      <c r="H45" s="1" t="n">
        <v>0</v>
      </c>
      <c r="I45" s="1" t="n">
        <v>2</v>
      </c>
      <c r="J45" s="1" t="n">
        <v>3</v>
      </c>
      <c r="K45" s="1" t="n">
        <v>68.9</v>
      </c>
      <c r="L45" s="1" t="n">
        <v>65.1</v>
      </c>
      <c r="M45" s="1" t="n">
        <v>0</v>
      </c>
      <c r="N45" s="1" t="s">
        <v>768</v>
      </c>
      <c r="O45" s="1" t="s">
        <v>769</v>
      </c>
      <c r="P45" s="1" t="s">
        <v>770</v>
      </c>
      <c r="Q45" s="1" t="n">
        <v>0.659</v>
      </c>
      <c r="S45" s="1" t="s">
        <v>655</v>
      </c>
      <c r="T45" s="1" t="s">
        <v>655</v>
      </c>
      <c r="U45" s="1" t="e">
        <f aca="false">S45-T45</f>
        <v>#VALUE!</v>
      </c>
      <c r="W45" s="1" t="s">
        <v>254</v>
      </c>
    </row>
    <row r="46" customFormat="false" ht="12.75" hidden="false" customHeight="false" outlineLevel="0" collapsed="false">
      <c r="A46" s="1" t="s">
        <v>771</v>
      </c>
      <c r="B46" s="1" t="s">
        <v>630</v>
      </c>
      <c r="C46" s="1" t="n">
        <v>0</v>
      </c>
      <c r="E46" s="1" t="n">
        <v>0.6</v>
      </c>
      <c r="F46" s="1" t="n">
        <v>8</v>
      </c>
      <c r="G46" s="1" t="n">
        <v>0</v>
      </c>
      <c r="H46" s="1" t="n">
        <v>0</v>
      </c>
      <c r="I46" s="1" t="n">
        <v>0</v>
      </c>
      <c r="J46" s="1" t="n">
        <v>0</v>
      </c>
      <c r="K46" s="1" t="n">
        <v>73.5</v>
      </c>
      <c r="L46" s="1" t="n">
        <v>68.7</v>
      </c>
      <c r="M46" s="1" t="n">
        <v>0</v>
      </c>
      <c r="N46" s="1" t="s">
        <v>772</v>
      </c>
      <c r="O46" s="1" t="s">
        <v>773</v>
      </c>
      <c r="P46" s="1" t="s">
        <v>774</v>
      </c>
      <c r="Q46" s="1" t="n">
        <v>0.689</v>
      </c>
      <c r="S46" s="1" t="n">
        <v>0.992</v>
      </c>
      <c r="T46" s="1" t="n">
        <v>0.94</v>
      </c>
      <c r="U46" s="1" t="n">
        <f aca="false">S46-T46</f>
        <v>0.0519999999999999</v>
      </c>
      <c r="W46" s="1" t="s">
        <v>771</v>
      </c>
    </row>
    <row r="47" customFormat="false" ht="12.75" hidden="false" customHeight="false" outlineLevel="0" collapsed="false">
      <c r="A47" s="1" t="s">
        <v>328</v>
      </c>
      <c r="B47" s="1" t="s">
        <v>630</v>
      </c>
      <c r="C47" s="1" t="n">
        <v>0</v>
      </c>
      <c r="E47" s="1" t="n">
        <v>0.5</v>
      </c>
      <c r="F47" s="1" t="n">
        <v>5</v>
      </c>
      <c r="G47" s="1" t="n">
        <v>1</v>
      </c>
      <c r="H47" s="1" t="n">
        <v>1</v>
      </c>
      <c r="I47" s="1" t="n">
        <v>0</v>
      </c>
      <c r="J47" s="1" t="n">
        <v>1</v>
      </c>
      <c r="K47" s="1" t="n">
        <v>68.3</v>
      </c>
      <c r="L47" s="1" t="n">
        <v>69.3</v>
      </c>
      <c r="M47" s="1" t="n">
        <v>0</v>
      </c>
      <c r="N47" s="1" t="s">
        <v>775</v>
      </c>
      <c r="O47" s="1" t="s">
        <v>776</v>
      </c>
      <c r="P47" s="1" t="s">
        <v>777</v>
      </c>
      <c r="Q47" s="1" t="n">
        <v>0.689</v>
      </c>
      <c r="S47" s="1" t="n">
        <v>1.005</v>
      </c>
      <c r="T47" s="1" t="n">
        <v>1.044</v>
      </c>
      <c r="U47" s="1" t="n">
        <f aca="false">S47-T47</f>
        <v>-0.0390000000000001</v>
      </c>
      <c r="W47" s="1" t="s">
        <v>328</v>
      </c>
    </row>
    <row r="48" customFormat="false" ht="12.75" hidden="false" customHeight="false" outlineLevel="0" collapsed="false">
      <c r="A48" s="1" t="s">
        <v>77</v>
      </c>
      <c r="B48" s="1" t="s">
        <v>630</v>
      </c>
      <c r="C48" s="1" t="n">
        <v>2</v>
      </c>
      <c r="E48" s="1" t="n">
        <v>0.878787879</v>
      </c>
      <c r="F48" s="1" t="n">
        <v>7</v>
      </c>
      <c r="G48" s="1" t="n">
        <v>0</v>
      </c>
      <c r="H48" s="1" t="n">
        <v>0</v>
      </c>
      <c r="I48" s="1" t="n">
        <v>7</v>
      </c>
      <c r="J48" s="1" t="n">
        <v>3</v>
      </c>
      <c r="K48" s="1" t="n">
        <v>81.2</v>
      </c>
      <c r="L48" s="1" t="n">
        <v>61.6</v>
      </c>
      <c r="M48" s="1" t="n">
        <v>0</v>
      </c>
      <c r="N48" s="1" t="s">
        <v>778</v>
      </c>
      <c r="O48" s="1" t="s">
        <v>779</v>
      </c>
      <c r="P48" s="1" t="s">
        <v>780</v>
      </c>
      <c r="Q48" s="1" t="n">
        <v>0.65</v>
      </c>
      <c r="S48" s="1" t="n">
        <v>1.099</v>
      </c>
      <c r="T48" s="1" t="n">
        <v>0.834</v>
      </c>
      <c r="U48" s="1" t="n">
        <f aca="false">S48-T48</f>
        <v>0.265</v>
      </c>
      <c r="W48" s="1" t="s">
        <v>77</v>
      </c>
    </row>
    <row r="49" customFormat="false" ht="12.75" hidden="false" customHeight="false" outlineLevel="0" collapsed="false">
      <c r="A49" s="1" t="s">
        <v>781</v>
      </c>
      <c r="B49" s="1" t="s">
        <v>630</v>
      </c>
      <c r="C49" s="1" t="n">
        <v>4</v>
      </c>
      <c r="E49" s="1" t="n">
        <v>0.75</v>
      </c>
      <c r="F49" s="1" t="n">
        <v>7</v>
      </c>
      <c r="G49" s="1" t="n">
        <v>0</v>
      </c>
      <c r="H49" s="1" t="n">
        <v>1</v>
      </c>
      <c r="I49" s="1" t="n">
        <v>9</v>
      </c>
      <c r="J49" s="1" t="n">
        <v>2</v>
      </c>
      <c r="K49" s="1" t="n">
        <v>74.9</v>
      </c>
      <c r="L49" s="1" t="n">
        <v>64.8</v>
      </c>
      <c r="M49" s="1" t="n">
        <v>0</v>
      </c>
      <c r="N49" s="1" t="s">
        <v>782</v>
      </c>
      <c r="O49" s="1" t="s">
        <v>783</v>
      </c>
      <c r="P49" s="1" t="s">
        <v>784</v>
      </c>
      <c r="Q49" s="1" t="n">
        <v>0.611</v>
      </c>
      <c r="S49" s="1" t="n">
        <v>1.039</v>
      </c>
      <c r="T49" s="1" t="n">
        <v>0.9</v>
      </c>
      <c r="U49" s="1" t="n">
        <f aca="false">S49-T49</f>
        <v>0.139</v>
      </c>
      <c r="W49" s="1" t="s">
        <v>781</v>
      </c>
    </row>
    <row r="50" customFormat="false" ht="12.75" hidden="false" customHeight="false" outlineLevel="0" collapsed="false">
      <c r="A50" s="1" t="s">
        <v>785</v>
      </c>
      <c r="B50" s="1" t="s">
        <v>630</v>
      </c>
      <c r="C50" s="1" t="n">
        <v>0</v>
      </c>
      <c r="E50" s="1" t="n">
        <v>0.709677419</v>
      </c>
      <c r="F50" s="1" t="n">
        <v>6</v>
      </c>
      <c r="G50" s="1" t="n">
        <v>0</v>
      </c>
      <c r="H50" s="1" t="n">
        <v>1</v>
      </c>
      <c r="I50" s="1" t="n">
        <v>5</v>
      </c>
      <c r="J50" s="1" t="n">
        <v>6</v>
      </c>
      <c r="K50" s="1" t="n">
        <v>77.1</v>
      </c>
      <c r="L50" s="1" t="n">
        <v>70.7</v>
      </c>
      <c r="M50" s="1" t="n">
        <v>3</v>
      </c>
      <c r="N50" s="1" t="s">
        <v>786</v>
      </c>
      <c r="O50" s="1" t="s">
        <v>787</v>
      </c>
      <c r="P50" s="1" t="s">
        <v>788</v>
      </c>
      <c r="Q50" s="1" t="n">
        <v>0.596</v>
      </c>
      <c r="S50" s="1" t="n">
        <v>0.988</v>
      </c>
      <c r="T50" s="1" t="n">
        <v>0.906</v>
      </c>
      <c r="U50" s="1" t="n">
        <f aca="false">S50-T50</f>
        <v>0.082</v>
      </c>
      <c r="W50" s="1" t="s">
        <v>785</v>
      </c>
    </row>
    <row r="51" customFormat="false" ht="12.75" hidden="false" customHeight="false" outlineLevel="0" collapsed="false">
      <c r="A51" s="1" t="s">
        <v>109</v>
      </c>
      <c r="B51" s="1" t="s">
        <v>630</v>
      </c>
      <c r="C51" s="1" t="n">
        <v>0</v>
      </c>
      <c r="E51" s="1" t="n">
        <v>0.633333333</v>
      </c>
      <c r="F51" s="1" t="n">
        <v>6</v>
      </c>
      <c r="G51" s="1" t="n">
        <v>0</v>
      </c>
      <c r="H51" s="1" t="n">
        <v>0</v>
      </c>
      <c r="I51" s="1" t="n">
        <v>4</v>
      </c>
      <c r="J51" s="1" t="n">
        <v>8</v>
      </c>
      <c r="K51" s="1" t="n">
        <v>76.9</v>
      </c>
      <c r="L51" s="1" t="n">
        <v>69.8</v>
      </c>
      <c r="M51" s="1" t="n">
        <v>2</v>
      </c>
      <c r="N51" s="1" t="s">
        <v>789</v>
      </c>
      <c r="O51" s="1" t="s">
        <v>773</v>
      </c>
      <c r="P51" s="1" t="s">
        <v>790</v>
      </c>
      <c r="Q51" s="1" t="n">
        <v>0.678</v>
      </c>
      <c r="S51" s="1" t="n">
        <v>1.04</v>
      </c>
      <c r="T51" s="1" t="n">
        <v>0.944</v>
      </c>
      <c r="U51" s="1" t="n">
        <f aca="false">S51-T51</f>
        <v>0.096</v>
      </c>
      <c r="W51" s="1" t="s">
        <v>109</v>
      </c>
    </row>
    <row r="52" customFormat="false" ht="12.75" hidden="false" customHeight="false" outlineLevel="0" collapsed="false">
      <c r="A52" s="1" t="s">
        <v>22</v>
      </c>
      <c r="B52" s="1" t="s">
        <v>630</v>
      </c>
      <c r="C52" s="1" t="n">
        <v>1</v>
      </c>
      <c r="E52" s="1" t="n">
        <v>0.709677419</v>
      </c>
      <c r="F52" s="1" t="n">
        <v>8</v>
      </c>
      <c r="G52" s="1" t="n">
        <v>1</v>
      </c>
      <c r="H52" s="1" t="n">
        <v>0</v>
      </c>
      <c r="I52" s="1" t="n">
        <v>7</v>
      </c>
      <c r="J52" s="1" t="n">
        <v>1</v>
      </c>
      <c r="K52" s="1" t="n">
        <v>76</v>
      </c>
      <c r="L52" s="1" t="n">
        <v>68.6</v>
      </c>
      <c r="M52" s="1" t="n">
        <v>0</v>
      </c>
      <c r="N52" s="1" t="s">
        <v>791</v>
      </c>
      <c r="O52" s="1" t="s">
        <v>792</v>
      </c>
      <c r="P52" s="1" t="s">
        <v>793</v>
      </c>
      <c r="Q52" s="1" t="n">
        <v>0.714</v>
      </c>
      <c r="S52" s="1" t="n">
        <v>1.078</v>
      </c>
      <c r="T52" s="1" t="n">
        <v>0.973</v>
      </c>
      <c r="U52" s="1" t="n">
        <f aca="false">S52-T52</f>
        <v>0.105</v>
      </c>
      <c r="W52" s="1" t="s">
        <v>22</v>
      </c>
    </row>
    <row r="53" customFormat="false" ht="12.75" hidden="false" customHeight="false" outlineLevel="0" collapsed="false">
      <c r="A53" s="1" t="s">
        <v>616</v>
      </c>
      <c r="B53" s="1" t="s">
        <v>630</v>
      </c>
      <c r="C53" s="1" t="n">
        <v>0</v>
      </c>
      <c r="E53" s="1" t="n">
        <v>0.8</v>
      </c>
      <c r="F53" s="1" t="n">
        <v>8</v>
      </c>
      <c r="G53" s="1" t="n">
        <v>0</v>
      </c>
      <c r="H53" s="1" t="n">
        <v>0</v>
      </c>
      <c r="I53" s="1" t="n">
        <v>0</v>
      </c>
      <c r="J53" s="1" t="n">
        <v>0</v>
      </c>
      <c r="K53" s="1" t="n">
        <v>72.9</v>
      </c>
      <c r="L53" s="1" t="n">
        <v>62.7</v>
      </c>
      <c r="M53" s="1" t="n">
        <v>0</v>
      </c>
      <c r="N53" s="1" t="s">
        <v>794</v>
      </c>
      <c r="O53" s="1" t="s">
        <v>795</v>
      </c>
      <c r="P53" s="1" t="s">
        <v>796</v>
      </c>
      <c r="Q53" s="1" t="n">
        <v>0.688</v>
      </c>
      <c r="S53" s="1" t="n">
        <v>1.127</v>
      </c>
      <c r="T53" s="1" t="n">
        <v>0.989</v>
      </c>
      <c r="U53" s="1" t="n">
        <f aca="false">S53-T53</f>
        <v>0.138</v>
      </c>
      <c r="W53" s="1" t="s">
        <v>616</v>
      </c>
    </row>
    <row r="54" customFormat="false" ht="12.75" hidden="false" customHeight="false" outlineLevel="0" collapsed="false">
      <c r="A54" s="1" t="s">
        <v>137</v>
      </c>
      <c r="B54" s="1" t="s">
        <v>630</v>
      </c>
      <c r="C54" s="1" t="n">
        <v>0</v>
      </c>
      <c r="E54" s="1" t="n">
        <v>0.724137931</v>
      </c>
      <c r="F54" s="1" t="n">
        <v>8</v>
      </c>
      <c r="G54" s="1" t="n">
        <v>1</v>
      </c>
      <c r="H54" s="1" t="n">
        <v>0</v>
      </c>
      <c r="I54" s="1" t="n">
        <v>0</v>
      </c>
      <c r="J54" s="1" t="n">
        <v>1</v>
      </c>
      <c r="K54" s="1" t="n">
        <v>68.8</v>
      </c>
      <c r="L54" s="1" t="n">
        <v>64.6</v>
      </c>
      <c r="M54" s="1" t="n">
        <v>0</v>
      </c>
      <c r="N54" s="1" t="s">
        <v>797</v>
      </c>
      <c r="O54" s="1" t="s">
        <v>798</v>
      </c>
      <c r="P54" s="1" t="s">
        <v>799</v>
      </c>
      <c r="Q54" s="1" t="n">
        <v>0.655</v>
      </c>
      <c r="S54" s="1" t="n">
        <v>0.987</v>
      </c>
      <c r="T54" s="1" t="n">
        <v>0.946</v>
      </c>
      <c r="U54" s="1" t="n">
        <f aca="false">S54-T54</f>
        <v>0.0409999999999999</v>
      </c>
      <c r="W54" s="1" t="s">
        <v>137</v>
      </c>
    </row>
    <row r="55" customFormat="false" ht="12.75" hidden="false" customHeight="false" outlineLevel="0" collapsed="false">
      <c r="A55" s="1" t="s">
        <v>191</v>
      </c>
      <c r="B55" s="1" t="s">
        <v>630</v>
      </c>
      <c r="C55" s="1" t="n">
        <v>2</v>
      </c>
      <c r="E55" s="1" t="n">
        <v>0.666666667</v>
      </c>
      <c r="F55" s="1" t="n">
        <v>5</v>
      </c>
      <c r="G55" s="1" t="n">
        <v>0</v>
      </c>
      <c r="H55" s="1" t="n">
        <v>1</v>
      </c>
      <c r="I55" s="1" t="n">
        <v>6</v>
      </c>
      <c r="J55" s="1" t="n">
        <v>9</v>
      </c>
      <c r="K55" s="1" t="n">
        <v>73.9</v>
      </c>
      <c r="L55" s="1" t="n">
        <v>70</v>
      </c>
      <c r="M55" s="1" t="n">
        <v>2</v>
      </c>
      <c r="N55" s="1" t="s">
        <v>800</v>
      </c>
      <c r="O55" s="1" t="s">
        <v>801</v>
      </c>
      <c r="P55" s="1" t="s">
        <v>802</v>
      </c>
      <c r="Q55" s="1" t="n">
        <v>0.701</v>
      </c>
      <c r="S55" s="1" t="s">
        <v>655</v>
      </c>
      <c r="T55" s="1" t="s">
        <v>655</v>
      </c>
      <c r="U55" s="1" t="e">
        <f aca="false">S55-T55</f>
        <v>#VALUE!</v>
      </c>
      <c r="W55" s="1" t="s">
        <v>191</v>
      </c>
    </row>
    <row r="56" customFormat="false" ht="12.75" hidden="false" customHeight="false" outlineLevel="0" collapsed="false">
      <c r="A56" s="1" t="s">
        <v>62</v>
      </c>
      <c r="B56" s="1" t="s">
        <v>630</v>
      </c>
      <c r="C56" s="1" t="n">
        <v>2</v>
      </c>
      <c r="E56" s="1" t="n">
        <v>0.709677419</v>
      </c>
      <c r="F56" s="1" t="n">
        <v>6</v>
      </c>
      <c r="G56" s="1" t="n">
        <v>0</v>
      </c>
      <c r="H56" s="1" t="n">
        <v>1</v>
      </c>
      <c r="I56" s="1" t="n">
        <v>3</v>
      </c>
      <c r="J56" s="1" t="n">
        <v>5</v>
      </c>
      <c r="K56" s="1" t="n">
        <v>80.3</v>
      </c>
      <c r="L56" s="1" t="n">
        <v>70.2</v>
      </c>
      <c r="M56" s="1" t="n">
        <v>0</v>
      </c>
      <c r="N56" s="1" t="s">
        <v>803</v>
      </c>
      <c r="O56" s="1" t="s">
        <v>804</v>
      </c>
      <c r="P56" s="1" t="s">
        <v>805</v>
      </c>
      <c r="Q56" s="1" t="n">
        <v>0.703</v>
      </c>
      <c r="S56" s="1" t="s">
        <v>655</v>
      </c>
      <c r="T56" s="1" t="s">
        <v>655</v>
      </c>
      <c r="U56" s="1" t="e">
        <f aca="false">S56-T56</f>
        <v>#VALUE!</v>
      </c>
      <c r="W56" s="1" t="s">
        <v>62</v>
      </c>
    </row>
    <row r="57" customFormat="false" ht="12.75" hidden="false" customHeight="false" outlineLevel="0" collapsed="false">
      <c r="A57" s="1" t="s">
        <v>114</v>
      </c>
      <c r="B57" s="1" t="s">
        <v>630</v>
      </c>
      <c r="C57" s="1" t="n">
        <v>0</v>
      </c>
      <c r="E57" s="1" t="n">
        <v>0.607142857</v>
      </c>
      <c r="F57" s="1" t="n">
        <v>4</v>
      </c>
      <c r="G57" s="1" t="n">
        <v>0</v>
      </c>
      <c r="H57" s="1" t="n">
        <v>1</v>
      </c>
      <c r="I57" s="1" t="n">
        <v>4</v>
      </c>
      <c r="J57" s="1" t="n">
        <v>7</v>
      </c>
      <c r="K57" s="1" t="n">
        <v>68.9</v>
      </c>
      <c r="L57" s="1" t="n">
        <v>65.3</v>
      </c>
      <c r="M57" s="1" t="n">
        <v>1</v>
      </c>
      <c r="N57" s="1" t="s">
        <v>806</v>
      </c>
      <c r="O57" s="1" t="s">
        <v>742</v>
      </c>
      <c r="P57" s="1" t="s">
        <v>807</v>
      </c>
      <c r="Q57" s="1" t="n">
        <v>0.68</v>
      </c>
      <c r="S57" s="1" t="n">
        <v>0.982</v>
      </c>
      <c r="T57" s="1" t="n">
        <v>0.931</v>
      </c>
      <c r="U57" s="1" t="n">
        <f aca="false">S57-T57</f>
        <v>0.0509999999999999</v>
      </c>
      <c r="W57" s="1" t="s">
        <v>114</v>
      </c>
    </row>
    <row r="58" customFormat="false" ht="12.75" hidden="false" customHeight="false" outlineLevel="0" collapsed="false">
      <c r="A58" s="1" t="s">
        <v>39</v>
      </c>
      <c r="B58" s="1" t="s">
        <v>630</v>
      </c>
      <c r="C58" s="1" t="n">
        <v>0</v>
      </c>
      <c r="E58" s="1" t="n">
        <v>0.689655172</v>
      </c>
      <c r="F58" s="1" t="n">
        <v>5</v>
      </c>
      <c r="G58" s="1" t="n">
        <v>0</v>
      </c>
      <c r="H58" s="1" t="n">
        <v>0</v>
      </c>
      <c r="I58" s="1" t="n">
        <v>2</v>
      </c>
      <c r="J58" s="1" t="n">
        <v>5</v>
      </c>
      <c r="K58" s="1" t="n">
        <v>71.8</v>
      </c>
      <c r="L58" s="1" t="n">
        <v>63.2</v>
      </c>
      <c r="M58" s="1" t="n">
        <v>0</v>
      </c>
      <c r="N58" s="1" t="s">
        <v>808</v>
      </c>
      <c r="O58" s="1" t="s">
        <v>809</v>
      </c>
      <c r="P58" s="1" t="s">
        <v>810</v>
      </c>
      <c r="Q58" s="1" t="n">
        <v>0.648</v>
      </c>
      <c r="S58" s="1" t="n">
        <v>0.988</v>
      </c>
      <c r="T58" s="1" t="n">
        <v>0.871</v>
      </c>
      <c r="U58" s="1" t="n">
        <f aca="false">S58-T58</f>
        <v>0.117</v>
      </c>
      <c r="W58" s="1" t="s">
        <v>39</v>
      </c>
    </row>
    <row r="59" customFormat="false" ht="12.75" hidden="false" customHeight="false" outlineLevel="0" collapsed="false">
      <c r="A59" s="1" t="s">
        <v>43</v>
      </c>
      <c r="B59" s="1" t="s">
        <v>630</v>
      </c>
      <c r="C59" s="1" t="n">
        <v>3</v>
      </c>
      <c r="E59" s="1" t="n">
        <v>0.8</v>
      </c>
      <c r="F59" s="1" t="n">
        <v>8</v>
      </c>
      <c r="G59" s="1" t="n">
        <v>1</v>
      </c>
      <c r="H59" s="1" t="n">
        <v>0</v>
      </c>
      <c r="I59" s="1" t="n">
        <v>1</v>
      </c>
      <c r="J59" s="1" t="n">
        <v>3</v>
      </c>
      <c r="K59" s="1" t="n">
        <v>78.4</v>
      </c>
      <c r="L59" s="1" t="n">
        <v>65.1</v>
      </c>
      <c r="M59" s="1" t="n">
        <v>0</v>
      </c>
      <c r="N59" s="1" t="s">
        <v>811</v>
      </c>
      <c r="O59" s="1" t="s">
        <v>812</v>
      </c>
      <c r="P59" s="1" t="s">
        <v>813</v>
      </c>
      <c r="Q59" s="1" t="n">
        <v>0.725</v>
      </c>
      <c r="S59" s="1" t="n">
        <v>1.099</v>
      </c>
      <c r="T59" s="1" t="n">
        <v>0.919</v>
      </c>
      <c r="U59" s="1" t="n">
        <f aca="false">S59-T59</f>
        <v>0.18</v>
      </c>
      <c r="W59" s="1" t="s">
        <v>43</v>
      </c>
    </row>
    <row r="60" customFormat="false" ht="12.75" hidden="false" customHeight="false" outlineLevel="0" collapsed="false">
      <c r="A60" s="1" t="s">
        <v>814</v>
      </c>
      <c r="B60" s="1" t="s">
        <v>630</v>
      </c>
      <c r="C60" s="1" t="n">
        <v>0</v>
      </c>
      <c r="E60" s="1" t="n">
        <v>0.777777778</v>
      </c>
      <c r="F60" s="1" t="n">
        <v>8</v>
      </c>
      <c r="G60" s="1" t="n">
        <v>0</v>
      </c>
      <c r="H60" s="1" t="n">
        <v>1</v>
      </c>
      <c r="I60" s="1" t="n">
        <v>2</v>
      </c>
      <c r="J60" s="1" t="n">
        <v>2</v>
      </c>
      <c r="K60" s="1" t="n">
        <v>71.1</v>
      </c>
      <c r="L60" s="1" t="n">
        <v>60.7</v>
      </c>
      <c r="M60" s="1" t="n">
        <v>0</v>
      </c>
      <c r="N60" s="1" t="s">
        <v>815</v>
      </c>
      <c r="O60" s="1" t="s">
        <v>816</v>
      </c>
      <c r="P60" s="1" t="s">
        <v>817</v>
      </c>
      <c r="Q60" s="1" t="n">
        <v>0.65</v>
      </c>
      <c r="S60" s="1" t="n">
        <v>1.069</v>
      </c>
      <c r="T60" s="1" t="n">
        <v>0.912</v>
      </c>
      <c r="U60" s="1" t="n">
        <f aca="false">S60-T60</f>
        <v>0.157</v>
      </c>
      <c r="W60" s="1" t="s">
        <v>72</v>
      </c>
    </row>
    <row r="61" customFormat="false" ht="12.75" hidden="false" customHeight="false" outlineLevel="0" collapsed="false">
      <c r="A61" s="1" t="s">
        <v>264</v>
      </c>
      <c r="B61" s="1" t="s">
        <v>630</v>
      </c>
      <c r="C61" s="1" t="n">
        <v>0</v>
      </c>
      <c r="E61" s="1" t="n">
        <v>0.625</v>
      </c>
      <c r="F61" s="1" t="n">
        <v>5</v>
      </c>
      <c r="G61" s="1" t="n">
        <v>0</v>
      </c>
      <c r="H61" s="1" t="n">
        <v>0</v>
      </c>
      <c r="I61" s="1" t="n">
        <v>3</v>
      </c>
      <c r="J61" s="1" t="n">
        <v>6</v>
      </c>
      <c r="K61" s="1" t="n">
        <v>74</v>
      </c>
      <c r="L61" s="1" t="n">
        <v>70.5</v>
      </c>
      <c r="M61" s="1" t="n">
        <v>0</v>
      </c>
      <c r="N61" s="1" t="s">
        <v>818</v>
      </c>
      <c r="O61" s="1" t="s">
        <v>819</v>
      </c>
      <c r="P61" s="1" t="s">
        <v>820</v>
      </c>
      <c r="Q61" s="1" t="n">
        <v>0.68</v>
      </c>
      <c r="S61" s="1" t="s">
        <v>655</v>
      </c>
      <c r="T61" s="1" t="n">
        <v>0.945</v>
      </c>
      <c r="U61" s="1" t="e">
        <f aca="false">S61-T61</f>
        <v>#VALUE!</v>
      </c>
      <c r="W61" s="1" t="s">
        <v>264</v>
      </c>
    </row>
    <row r="62" customFormat="false" ht="12.75" hidden="false" customHeight="false" outlineLevel="0" collapsed="false">
      <c r="A62" s="1" t="s">
        <v>493</v>
      </c>
      <c r="B62" s="1" t="s">
        <v>630</v>
      </c>
      <c r="C62" s="1" t="n">
        <v>0</v>
      </c>
      <c r="E62" s="1" t="n">
        <v>0.806451613</v>
      </c>
      <c r="F62" s="1" t="n">
        <v>7</v>
      </c>
      <c r="G62" s="1" t="n">
        <v>1</v>
      </c>
      <c r="H62" s="1" t="n">
        <v>0</v>
      </c>
      <c r="I62" s="1" t="n">
        <v>1</v>
      </c>
      <c r="J62" s="1" t="n">
        <v>0</v>
      </c>
      <c r="K62" s="1" t="n">
        <v>86.6</v>
      </c>
      <c r="L62" s="1" t="n">
        <v>79.8</v>
      </c>
      <c r="M62" s="1" t="n">
        <v>0</v>
      </c>
      <c r="N62" s="1" t="s">
        <v>821</v>
      </c>
      <c r="O62" s="1" t="s">
        <v>822</v>
      </c>
      <c r="P62" s="1" t="s">
        <v>823</v>
      </c>
      <c r="Q62" s="1" t="n">
        <v>0.787</v>
      </c>
      <c r="S62" s="1" t="n">
        <v>1.086</v>
      </c>
      <c r="T62" s="1" t="n">
        <v>0.999</v>
      </c>
      <c r="U62" s="1" t="n">
        <f aca="false">S62-T62</f>
        <v>0.0870000000000001</v>
      </c>
      <c r="W62" s="1" t="s">
        <v>493</v>
      </c>
    </row>
    <row r="63" customFormat="false" ht="12.75" hidden="false" customHeight="false" outlineLevel="0" collapsed="false">
      <c r="A63" s="1" t="s">
        <v>208</v>
      </c>
      <c r="B63" s="1" t="s">
        <v>630</v>
      </c>
      <c r="C63" s="1" t="n">
        <v>1</v>
      </c>
      <c r="E63" s="1" t="n">
        <v>0.757575758</v>
      </c>
      <c r="F63" s="1" t="n">
        <v>8</v>
      </c>
      <c r="G63" s="1" t="n">
        <v>1</v>
      </c>
      <c r="H63" s="1" t="n">
        <v>0</v>
      </c>
      <c r="I63" s="1" t="n">
        <v>0</v>
      </c>
      <c r="J63" s="1" t="n">
        <v>1</v>
      </c>
      <c r="K63" s="1" t="n">
        <v>79.1</v>
      </c>
      <c r="L63" s="1" t="n">
        <v>73</v>
      </c>
      <c r="M63" s="1" t="n">
        <v>0</v>
      </c>
      <c r="N63" s="1" t="s">
        <v>824</v>
      </c>
      <c r="O63" s="1" t="s">
        <v>825</v>
      </c>
      <c r="P63" s="1" t="s">
        <v>826</v>
      </c>
      <c r="Q63" s="1" t="n">
        <v>0.707</v>
      </c>
      <c r="S63" s="1" t="n">
        <v>1.065</v>
      </c>
      <c r="T63" s="1" t="n">
        <v>0.996</v>
      </c>
      <c r="U63" s="1" t="n">
        <f aca="false">S63-T63</f>
        <v>0.069</v>
      </c>
      <c r="W63" s="1" t="s">
        <v>208</v>
      </c>
    </row>
    <row r="64" customFormat="false" ht="12.75" hidden="false" customHeight="false" outlineLevel="0" collapsed="false">
      <c r="A64" s="1" t="s">
        <v>583</v>
      </c>
      <c r="B64" s="1" t="s">
        <v>630</v>
      </c>
      <c r="C64" s="1" t="n">
        <v>0</v>
      </c>
      <c r="E64" s="1" t="n">
        <v>0.766666667</v>
      </c>
      <c r="F64" s="1" t="n">
        <v>8</v>
      </c>
      <c r="G64" s="1" t="n">
        <v>0</v>
      </c>
      <c r="H64" s="1" t="n">
        <v>0</v>
      </c>
      <c r="I64" s="1" t="n">
        <v>0</v>
      </c>
      <c r="J64" s="1" t="n">
        <v>1</v>
      </c>
      <c r="K64" s="1" t="n">
        <v>75.8</v>
      </c>
      <c r="L64" s="1" t="n">
        <v>66.9</v>
      </c>
      <c r="M64" s="1" t="n">
        <v>0</v>
      </c>
      <c r="N64" s="1" t="s">
        <v>827</v>
      </c>
      <c r="O64" s="1" t="s">
        <v>828</v>
      </c>
      <c r="P64" s="1" t="s">
        <v>829</v>
      </c>
      <c r="Q64" s="1" t="n">
        <v>0.642</v>
      </c>
      <c r="S64" s="1" t="n">
        <v>0.959</v>
      </c>
      <c r="T64" s="1" t="n">
        <v>0.861</v>
      </c>
      <c r="U64" s="1" t="n">
        <f aca="false">S64-T64</f>
        <v>0.0980000000000001</v>
      </c>
      <c r="W64" s="1" t="s">
        <v>583</v>
      </c>
    </row>
    <row r="65" customFormat="false" ht="12.75" hidden="false" customHeight="false" outlineLevel="0" collapsed="false">
      <c r="A65" s="1" t="s">
        <v>830</v>
      </c>
      <c r="B65" s="1" t="s">
        <v>630</v>
      </c>
      <c r="C65" s="1" t="n">
        <v>1</v>
      </c>
      <c r="E65" s="1" t="n">
        <f aca="false">23/30</f>
        <v>0.7666666667</v>
      </c>
      <c r="F65" s="1" t="n">
        <v>9</v>
      </c>
      <c r="G65" s="1" t="n">
        <v>0</v>
      </c>
      <c r="H65" s="1" t="n">
        <v>1</v>
      </c>
      <c r="I65" s="1" t="n">
        <v>6</v>
      </c>
      <c r="J65" s="1" t="n">
        <v>4</v>
      </c>
      <c r="K65" s="1" t="n">
        <v>72.6</v>
      </c>
      <c r="L65" s="1" t="n">
        <v>65</v>
      </c>
      <c r="M65" s="1" t="n">
        <v>1</v>
      </c>
      <c r="N65" s="1" t="s">
        <v>831</v>
      </c>
      <c r="O65" s="1" t="s">
        <v>832</v>
      </c>
      <c r="W65" s="1" t="s">
        <v>830</v>
      </c>
    </row>
    <row r="67" customFormat="false" ht="12.75" hidden="false" customHeight="false" outlineLevel="0" collapsed="false">
      <c r="P67" s="2" t="s">
        <v>833</v>
      </c>
      <c r="S67" s="2" t="s">
        <v>834</v>
      </c>
    </row>
  </sheetData>
  <hyperlinks>
    <hyperlink ref="P67" r:id="rId1" display="http://www.sports-reference.com/cbb/schools/connecticut/1999.html"/>
    <hyperlink ref="S67" r:id="rId2" display="http://www.teamrankings.com/ncaa-basketball/stat/offensive-efficiency?date=1999-03-30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RowHeight="12.75" zeroHeight="false" outlineLevelRow="0" outlineLevelCol="0"/>
  <cols>
    <col collapsed="false" customWidth="true" hidden="false" outlineLevel="0" max="1" min="1" style="0" width="20.43"/>
    <col collapsed="false" customWidth="true" hidden="false" outlineLevel="0" max="20" min="2" style="0" width="17.29"/>
    <col collapsed="false" customWidth="true" hidden="false" outlineLevel="0" max="1025" min="21" style="0" width="14.43"/>
  </cols>
  <sheetData>
    <row r="1" customFormat="false" ht="12.75" hidden="false" customHeight="false" outlineLevel="0" collapsed="false">
      <c r="A1" s="1" t="s">
        <v>2</v>
      </c>
      <c r="B1" s="1" t="s">
        <v>604</v>
      </c>
      <c r="C1" s="1" t="s">
        <v>213</v>
      </c>
      <c r="D1" s="1" t="s">
        <v>473</v>
      </c>
      <c r="E1" s="1" t="s">
        <v>441</v>
      </c>
      <c r="F1" s="1" t="s">
        <v>442</v>
      </c>
      <c r="G1" s="1" t="s">
        <v>443</v>
      </c>
      <c r="H1" s="1" t="s">
        <v>444</v>
      </c>
      <c r="I1" s="1" t="s">
        <v>445</v>
      </c>
      <c r="J1" s="1" t="s">
        <v>474</v>
      </c>
      <c r="K1" s="1" t="s">
        <v>475</v>
      </c>
      <c r="L1" s="1" t="s">
        <v>446</v>
      </c>
      <c r="M1" s="1" t="s">
        <v>447</v>
      </c>
      <c r="N1" s="1" t="s">
        <v>448</v>
      </c>
      <c r="O1" s="1" t="s">
        <v>476</v>
      </c>
      <c r="P1" s="1" t="s">
        <v>287</v>
      </c>
      <c r="Q1" s="1" t="s">
        <v>451</v>
      </c>
      <c r="R1" s="1" t="s">
        <v>546</v>
      </c>
      <c r="S1" s="1" t="s">
        <v>453</v>
      </c>
    </row>
    <row r="2" customFormat="false" ht="12.75" hidden="false" customHeight="false" outlineLevel="0" collapsed="false">
      <c r="A2" s="1" t="s">
        <v>71</v>
      </c>
      <c r="B2" s="1" t="s">
        <v>835</v>
      </c>
      <c r="C2" s="1" t="n">
        <v>1</v>
      </c>
      <c r="D2" s="1" t="n">
        <v>0.897</v>
      </c>
      <c r="E2" s="1" t="n">
        <v>10</v>
      </c>
      <c r="F2" s="1" t="n">
        <v>1</v>
      </c>
      <c r="G2" s="1" t="n">
        <v>1</v>
      </c>
      <c r="H2" s="1" t="n">
        <v>8</v>
      </c>
      <c r="I2" s="1" t="n">
        <v>1</v>
      </c>
      <c r="J2" s="1" t="n">
        <v>84.2</v>
      </c>
      <c r="K2" s="1" t="n">
        <v>67.8</v>
      </c>
      <c r="L2" s="1" t="n">
        <v>3</v>
      </c>
    </row>
    <row r="3" customFormat="false" ht="12.75" hidden="false" customHeight="false" outlineLevel="0" collapsed="false">
      <c r="A3" s="1" t="s">
        <v>836</v>
      </c>
      <c r="B3" s="1" t="s">
        <v>835</v>
      </c>
      <c r="C3" s="1" t="n">
        <v>0</v>
      </c>
      <c r="D3" s="1" t="n">
        <v>0.433</v>
      </c>
      <c r="E3" s="1" t="n">
        <v>7</v>
      </c>
      <c r="F3" s="1" t="n">
        <v>1</v>
      </c>
      <c r="G3" s="1" t="n">
        <v>0</v>
      </c>
      <c r="H3" s="1" t="n">
        <v>0</v>
      </c>
      <c r="I3" s="1" t="n">
        <v>1</v>
      </c>
      <c r="J3" s="1" t="n">
        <v>69.1</v>
      </c>
      <c r="K3" s="1" t="n">
        <v>79</v>
      </c>
      <c r="L3" s="1" t="n">
        <v>0</v>
      </c>
    </row>
    <row r="4" customFormat="false" ht="12.75" hidden="false" customHeight="false" outlineLevel="0" collapsed="false">
      <c r="A4" s="1" t="s">
        <v>84</v>
      </c>
      <c r="B4" s="1" t="s">
        <v>835</v>
      </c>
      <c r="C4" s="1" t="n">
        <v>3</v>
      </c>
      <c r="D4" s="1" t="n">
        <v>0.735</v>
      </c>
      <c r="E4" s="1" t="n">
        <v>7</v>
      </c>
      <c r="F4" s="1" t="n">
        <v>0</v>
      </c>
      <c r="G4" s="1" t="n">
        <v>0</v>
      </c>
      <c r="H4" s="1" t="n">
        <v>5</v>
      </c>
      <c r="I4" s="1" t="n">
        <v>4</v>
      </c>
      <c r="J4" s="1" t="n">
        <v>77.7</v>
      </c>
      <c r="K4" s="1" t="n">
        <v>71.6</v>
      </c>
      <c r="L4" s="1" t="n">
        <v>1</v>
      </c>
    </row>
    <row r="5" customFormat="false" ht="12.75" hidden="false" customHeight="false" outlineLevel="0" collapsed="false">
      <c r="A5" s="1" t="s">
        <v>399</v>
      </c>
      <c r="B5" s="1" t="s">
        <v>835</v>
      </c>
      <c r="C5" s="1" t="n">
        <v>0</v>
      </c>
      <c r="D5" s="1" t="n">
        <v>0.879</v>
      </c>
      <c r="E5" s="1" t="n">
        <v>10</v>
      </c>
      <c r="F5" s="1" t="n">
        <v>1</v>
      </c>
      <c r="G5" s="1" t="n">
        <v>0</v>
      </c>
      <c r="H5" s="1" t="n">
        <v>0</v>
      </c>
      <c r="I5" s="1" t="n">
        <v>1</v>
      </c>
      <c r="J5" s="1" t="n">
        <v>84.6</v>
      </c>
      <c r="K5" s="1" t="n">
        <v>71.2</v>
      </c>
      <c r="L5" s="1" t="n">
        <v>2</v>
      </c>
    </row>
    <row r="6" customFormat="false" ht="12.75" hidden="false" customHeight="false" outlineLevel="0" collapsed="false">
      <c r="A6" s="1" t="s">
        <v>837</v>
      </c>
      <c r="B6" s="1" t="s">
        <v>835</v>
      </c>
      <c r="C6" s="1" t="n">
        <v>0</v>
      </c>
      <c r="D6" s="1" t="n">
        <v>0.818</v>
      </c>
      <c r="E6" s="1" t="n">
        <v>9</v>
      </c>
      <c r="F6" s="1" t="n">
        <v>0</v>
      </c>
      <c r="G6" s="1" t="n">
        <v>0</v>
      </c>
      <c r="H6" s="1" t="n">
        <v>1</v>
      </c>
      <c r="I6" s="1" t="n">
        <v>3</v>
      </c>
      <c r="J6" s="1" t="n">
        <v>97</v>
      </c>
      <c r="K6" s="1" t="n">
        <v>77.4</v>
      </c>
      <c r="L6" s="1" t="n">
        <v>0</v>
      </c>
    </row>
    <row r="7" customFormat="false" ht="12.75" hidden="false" customHeight="false" outlineLevel="0" collapsed="false">
      <c r="A7" s="1" t="s">
        <v>392</v>
      </c>
      <c r="B7" s="1" t="s">
        <v>835</v>
      </c>
      <c r="C7" s="1" t="n">
        <v>1</v>
      </c>
      <c r="D7" s="1" t="n">
        <v>0.563</v>
      </c>
      <c r="E7" s="1" t="n">
        <v>3</v>
      </c>
      <c r="F7" s="1" t="n">
        <v>0</v>
      </c>
      <c r="G7" s="1" t="n">
        <v>1</v>
      </c>
      <c r="H7" s="1" t="n">
        <v>3</v>
      </c>
      <c r="I7" s="1" t="n">
        <v>9</v>
      </c>
      <c r="J7" s="1" t="n">
        <v>71.5</v>
      </c>
      <c r="K7" s="1" t="n">
        <v>69.3</v>
      </c>
      <c r="L7" s="1" t="n">
        <v>0</v>
      </c>
    </row>
    <row r="8" customFormat="false" ht="12.75" hidden="false" customHeight="false" outlineLevel="0" collapsed="false">
      <c r="A8" s="1" t="s">
        <v>253</v>
      </c>
      <c r="B8" s="1" t="s">
        <v>835</v>
      </c>
      <c r="C8" s="1" t="n">
        <v>0</v>
      </c>
      <c r="D8" s="1" t="n">
        <v>0.759</v>
      </c>
      <c r="E8" s="1" t="n">
        <v>8</v>
      </c>
      <c r="F8" s="1" t="n">
        <v>0</v>
      </c>
      <c r="G8" s="1" t="n">
        <v>1</v>
      </c>
      <c r="H8" s="1" t="n">
        <v>4</v>
      </c>
      <c r="I8" s="1" t="n">
        <v>1</v>
      </c>
      <c r="J8" s="1" t="n">
        <v>80.5</v>
      </c>
      <c r="K8" s="1" t="n">
        <v>68.1</v>
      </c>
      <c r="L8" s="1" t="n">
        <v>1</v>
      </c>
    </row>
    <row r="9" customFormat="false" ht="12.75" hidden="false" customHeight="false" outlineLevel="0" collapsed="false">
      <c r="A9" s="1" t="s">
        <v>267</v>
      </c>
      <c r="B9" s="1" t="s">
        <v>835</v>
      </c>
      <c r="C9" s="1" t="n">
        <v>2</v>
      </c>
      <c r="D9" s="1" t="n">
        <v>0.697</v>
      </c>
      <c r="E9" s="1" t="n">
        <v>10</v>
      </c>
      <c r="F9" s="1" t="n">
        <v>1</v>
      </c>
      <c r="G9" s="1" t="n">
        <v>0</v>
      </c>
      <c r="H9" s="1" t="n">
        <v>0</v>
      </c>
      <c r="I9" s="1" t="n">
        <v>3</v>
      </c>
      <c r="J9" s="1" t="n">
        <v>73.5</v>
      </c>
      <c r="K9" s="1" t="n">
        <v>67.8</v>
      </c>
      <c r="L9" s="1" t="n">
        <v>2</v>
      </c>
    </row>
    <row r="10" customFormat="false" ht="12.75" hidden="false" customHeight="false" outlineLevel="0" collapsed="false">
      <c r="A10" s="1" t="s">
        <v>75</v>
      </c>
      <c r="B10" s="1" t="s">
        <v>835</v>
      </c>
      <c r="C10" s="1" t="n">
        <v>0</v>
      </c>
      <c r="D10" s="1" t="n">
        <v>0.563</v>
      </c>
      <c r="E10" s="1" t="n">
        <v>6</v>
      </c>
      <c r="F10" s="1" t="n">
        <v>0</v>
      </c>
      <c r="G10" s="1" t="n">
        <v>1</v>
      </c>
      <c r="H10" s="1" t="n">
        <v>5</v>
      </c>
      <c r="I10" s="1" t="n">
        <v>7</v>
      </c>
      <c r="J10" s="1" t="n">
        <v>72.2</v>
      </c>
      <c r="K10" s="1" t="n">
        <v>65.3</v>
      </c>
      <c r="L10" s="1" t="n">
        <v>2</v>
      </c>
    </row>
    <row r="11" customFormat="false" ht="12.75" hidden="false" customHeight="false" outlineLevel="0" collapsed="false">
      <c r="A11" s="1" t="s">
        <v>338</v>
      </c>
      <c r="B11" s="1" t="s">
        <v>835</v>
      </c>
      <c r="C11" s="1" t="n">
        <v>1</v>
      </c>
      <c r="D11" s="1" t="n">
        <v>0.724</v>
      </c>
      <c r="E11" s="1" t="n">
        <v>7</v>
      </c>
      <c r="F11" s="1" t="n">
        <v>0</v>
      </c>
      <c r="G11" s="1" t="n">
        <v>0</v>
      </c>
      <c r="H11" s="1" t="n">
        <v>4</v>
      </c>
      <c r="I11" s="1" t="n">
        <v>1</v>
      </c>
      <c r="J11" s="1" t="n">
        <v>78.8</v>
      </c>
      <c r="K11" s="1" t="n">
        <v>70.4</v>
      </c>
      <c r="L11" s="1" t="n">
        <v>0</v>
      </c>
    </row>
    <row r="12" customFormat="false" ht="12.75" hidden="false" customHeight="false" outlineLevel="0" collapsed="false">
      <c r="A12" s="1" t="s">
        <v>335</v>
      </c>
      <c r="B12" s="1" t="s">
        <v>835</v>
      </c>
      <c r="C12" s="1" t="n">
        <v>4</v>
      </c>
      <c r="D12" s="1" t="n">
        <v>0.857</v>
      </c>
      <c r="E12" s="1" t="n">
        <v>8</v>
      </c>
      <c r="F12" s="1" t="n">
        <v>0</v>
      </c>
      <c r="G12" s="1" t="n">
        <v>1</v>
      </c>
      <c r="H12" s="1" t="n">
        <v>7</v>
      </c>
      <c r="I12" s="1" t="n">
        <v>3</v>
      </c>
      <c r="J12" s="1" t="n">
        <v>79.7</v>
      </c>
      <c r="K12" s="1" t="n">
        <v>68.9</v>
      </c>
      <c r="L12" s="1" t="n">
        <v>3</v>
      </c>
    </row>
    <row r="13" customFormat="false" ht="12.75" hidden="false" customHeight="false" outlineLevel="0" collapsed="false">
      <c r="A13" s="1" t="s">
        <v>681</v>
      </c>
      <c r="B13" s="1" t="s">
        <v>835</v>
      </c>
      <c r="C13" s="1" t="n">
        <v>0</v>
      </c>
      <c r="D13" s="1" t="n">
        <v>0.8</v>
      </c>
      <c r="E13" s="1" t="n">
        <v>8</v>
      </c>
      <c r="F13" s="1" t="n">
        <v>1</v>
      </c>
      <c r="G13" s="1" t="n">
        <v>0</v>
      </c>
      <c r="H13" s="1" t="n">
        <v>0</v>
      </c>
      <c r="I13" s="1" t="n">
        <v>1</v>
      </c>
      <c r="J13" s="1" t="n">
        <v>69.6</v>
      </c>
      <c r="K13" s="1" t="n">
        <v>56.1</v>
      </c>
      <c r="L13" s="1" t="n">
        <v>1</v>
      </c>
    </row>
    <row r="14" customFormat="false" ht="12.75" hidden="false" customHeight="false" outlineLevel="0" collapsed="false">
      <c r="A14" s="1" t="s">
        <v>838</v>
      </c>
      <c r="B14" s="1" t="s">
        <v>835</v>
      </c>
      <c r="C14" s="1" t="n">
        <v>0</v>
      </c>
      <c r="D14" s="1" t="n">
        <v>0.688</v>
      </c>
      <c r="E14" s="1" t="n">
        <v>7</v>
      </c>
      <c r="F14" s="1" t="n">
        <v>0</v>
      </c>
      <c r="G14" s="1" t="n">
        <v>1</v>
      </c>
      <c r="H14" s="1" t="n">
        <v>4</v>
      </c>
      <c r="I14" s="1" t="n">
        <v>3</v>
      </c>
      <c r="J14" s="1" t="n">
        <v>72.3</v>
      </c>
      <c r="K14" s="1" t="n">
        <v>67.7</v>
      </c>
      <c r="L14" s="1" t="n">
        <v>0</v>
      </c>
    </row>
    <row r="15" customFormat="false" ht="12.75" hidden="false" customHeight="false" outlineLevel="0" collapsed="false">
      <c r="A15" s="1" t="s">
        <v>839</v>
      </c>
      <c r="B15" s="1" t="s">
        <v>835</v>
      </c>
      <c r="C15" s="1" t="n">
        <v>1</v>
      </c>
      <c r="D15" s="1" t="n">
        <v>0.806</v>
      </c>
      <c r="E15" s="1" t="n">
        <v>8</v>
      </c>
      <c r="F15" s="1" t="n">
        <v>0</v>
      </c>
      <c r="G15" s="1" t="n">
        <v>0</v>
      </c>
      <c r="H15" s="1" t="n">
        <v>5</v>
      </c>
      <c r="I15" s="1" t="n">
        <v>2</v>
      </c>
      <c r="J15" s="1" t="n">
        <v>72.7</v>
      </c>
      <c r="K15" s="1" t="n">
        <v>63.3</v>
      </c>
      <c r="L15" s="1" t="n">
        <v>0</v>
      </c>
    </row>
    <row r="16" customFormat="false" ht="12.75" hidden="false" customHeight="false" outlineLevel="0" collapsed="false">
      <c r="A16" s="1" t="s">
        <v>69</v>
      </c>
      <c r="B16" s="1" t="s">
        <v>835</v>
      </c>
      <c r="C16" s="1" t="n">
        <v>2</v>
      </c>
      <c r="D16" s="1" t="n">
        <v>0.778</v>
      </c>
      <c r="E16" s="1" t="n">
        <v>7</v>
      </c>
      <c r="F16" s="1" t="n">
        <v>0</v>
      </c>
      <c r="G16" s="1" t="n">
        <v>1</v>
      </c>
      <c r="H16" s="1" t="n">
        <v>8</v>
      </c>
      <c r="I16" s="1" t="n">
        <v>5</v>
      </c>
      <c r="J16" s="1" t="n">
        <v>83.7</v>
      </c>
      <c r="K16" s="1" t="n">
        <v>72.3</v>
      </c>
      <c r="L16" s="1" t="n">
        <v>3</v>
      </c>
    </row>
    <row r="17" customFormat="false" ht="12.75" hidden="false" customHeight="false" outlineLevel="0" collapsed="false">
      <c r="A17" s="1" t="s">
        <v>319</v>
      </c>
      <c r="B17" s="1" t="s">
        <v>835</v>
      </c>
      <c r="C17" s="1" t="n">
        <v>0</v>
      </c>
      <c r="D17" s="1" t="n">
        <v>0.667</v>
      </c>
      <c r="E17" s="1" t="n">
        <v>7</v>
      </c>
      <c r="F17" s="1" t="n">
        <v>1</v>
      </c>
      <c r="G17" s="1" t="n">
        <v>0</v>
      </c>
      <c r="H17" s="1" t="n">
        <v>0</v>
      </c>
      <c r="I17" s="1" t="n">
        <v>1</v>
      </c>
      <c r="J17" s="1" t="n">
        <v>72.2</v>
      </c>
      <c r="K17" s="1" t="n">
        <v>70.7</v>
      </c>
      <c r="L17" s="1" t="n">
        <v>0</v>
      </c>
    </row>
    <row r="18" customFormat="false" ht="12.75" hidden="false" customHeight="false" outlineLevel="0" collapsed="false">
      <c r="A18" s="1" t="s">
        <v>86</v>
      </c>
      <c r="B18" s="1" t="s">
        <v>835</v>
      </c>
      <c r="C18" s="1" t="n">
        <v>3</v>
      </c>
      <c r="D18" s="1" t="n">
        <v>0.889</v>
      </c>
      <c r="E18" s="1" t="n">
        <v>9</v>
      </c>
      <c r="F18" s="1" t="n">
        <v>0</v>
      </c>
      <c r="G18" s="1" t="n">
        <v>1</v>
      </c>
      <c r="H18" s="1" t="n">
        <v>11</v>
      </c>
      <c r="I18" s="1" t="n">
        <v>2</v>
      </c>
      <c r="J18" s="1" t="n">
        <v>85.6</v>
      </c>
      <c r="K18" s="1" t="n">
        <v>64.1</v>
      </c>
      <c r="L18" s="1" t="n">
        <v>2</v>
      </c>
    </row>
    <row r="19" customFormat="false" ht="12.75" hidden="false" customHeight="false" outlineLevel="0" collapsed="false">
      <c r="A19" s="1" t="s">
        <v>55</v>
      </c>
      <c r="B19" s="1" t="s">
        <v>835</v>
      </c>
      <c r="C19" s="1" t="n">
        <v>0</v>
      </c>
      <c r="D19" s="1" t="n">
        <v>0.667</v>
      </c>
      <c r="E19" s="1" t="n">
        <v>10</v>
      </c>
      <c r="F19" s="1" t="n">
        <v>1</v>
      </c>
      <c r="G19" s="1" t="n">
        <v>0</v>
      </c>
      <c r="H19" s="1" t="n">
        <v>0</v>
      </c>
      <c r="I19" s="1" t="n">
        <v>1</v>
      </c>
      <c r="J19" s="1" t="n">
        <v>74.5</v>
      </c>
      <c r="K19" s="1" t="n">
        <v>71.2</v>
      </c>
      <c r="L19" s="1" t="n">
        <v>0</v>
      </c>
    </row>
    <row r="20" customFormat="false" ht="12.75" hidden="false" customHeight="false" outlineLevel="0" collapsed="false">
      <c r="A20" s="1" t="s">
        <v>840</v>
      </c>
      <c r="B20" s="1" t="s">
        <v>835</v>
      </c>
      <c r="C20" s="1" t="n">
        <v>1</v>
      </c>
      <c r="D20" s="1" t="n">
        <v>0.759</v>
      </c>
      <c r="E20" s="1" t="n">
        <v>7</v>
      </c>
      <c r="F20" s="1" t="n">
        <v>0</v>
      </c>
      <c r="G20" s="1" t="n">
        <v>1</v>
      </c>
      <c r="H20" s="1" t="n">
        <v>4</v>
      </c>
      <c r="I20" s="1" t="n">
        <v>2</v>
      </c>
      <c r="J20" s="1" t="n">
        <v>78.9</v>
      </c>
      <c r="K20" s="1" t="n">
        <v>69.2</v>
      </c>
      <c r="L20" s="1" t="n">
        <v>1</v>
      </c>
    </row>
    <row r="21" customFormat="false" ht="12.75" hidden="false" customHeight="false" outlineLevel="0" collapsed="false">
      <c r="A21" s="1" t="s">
        <v>321</v>
      </c>
      <c r="B21" s="1" t="s">
        <v>835</v>
      </c>
      <c r="C21" s="1" t="n">
        <v>0</v>
      </c>
      <c r="D21" s="1" t="n">
        <v>0.727</v>
      </c>
      <c r="E21" s="1" t="n">
        <v>5</v>
      </c>
      <c r="F21" s="1" t="n">
        <v>0</v>
      </c>
      <c r="G21" s="1" t="n">
        <v>0</v>
      </c>
      <c r="H21" s="1" t="n">
        <v>4</v>
      </c>
      <c r="I21" s="1" t="n">
        <v>5</v>
      </c>
      <c r="J21" s="1" t="n">
        <v>73.2</v>
      </c>
      <c r="K21" s="1" t="n">
        <v>68</v>
      </c>
      <c r="L21" s="1" t="n">
        <v>1</v>
      </c>
    </row>
    <row r="22" customFormat="false" ht="12.75" hidden="false" customHeight="false" outlineLevel="0" collapsed="false">
      <c r="A22" s="1" t="s">
        <v>81</v>
      </c>
      <c r="B22" s="1" t="s">
        <v>835</v>
      </c>
      <c r="C22" s="1" t="n">
        <v>2</v>
      </c>
      <c r="D22" s="1" t="n">
        <v>0.743</v>
      </c>
      <c r="E22" s="1" t="n">
        <v>7</v>
      </c>
      <c r="F22" s="1" t="n">
        <v>0</v>
      </c>
      <c r="G22" s="1" t="n">
        <v>1</v>
      </c>
      <c r="H22" s="1" t="n">
        <v>3</v>
      </c>
      <c r="I22" s="1" t="n">
        <v>2</v>
      </c>
      <c r="J22" s="1" t="n">
        <v>70.9</v>
      </c>
      <c r="K22" s="1" t="n">
        <v>67</v>
      </c>
      <c r="L22" s="1" t="n">
        <v>2</v>
      </c>
    </row>
    <row r="23" customFormat="false" ht="12.75" hidden="false" customHeight="false" outlineLevel="0" collapsed="false">
      <c r="A23" s="1" t="s">
        <v>191</v>
      </c>
      <c r="B23" s="1" t="s">
        <v>835</v>
      </c>
      <c r="C23" s="1" t="n">
        <v>0</v>
      </c>
      <c r="D23" s="1" t="n">
        <v>0.818</v>
      </c>
      <c r="E23" s="1" t="n">
        <v>8</v>
      </c>
      <c r="F23" s="1" t="n">
        <v>1</v>
      </c>
      <c r="G23" s="1" t="n">
        <v>0</v>
      </c>
      <c r="H23" s="1" t="n">
        <v>0</v>
      </c>
      <c r="I23" s="1" t="n">
        <v>1</v>
      </c>
      <c r="J23" s="1" t="n">
        <v>80.2</v>
      </c>
      <c r="K23" s="1" t="n">
        <v>69.6</v>
      </c>
      <c r="L23" s="1" t="n">
        <v>0</v>
      </c>
    </row>
    <row r="24" customFormat="false" ht="12.75" hidden="false" customHeight="false" outlineLevel="0" collapsed="false">
      <c r="A24" s="1" t="s">
        <v>330</v>
      </c>
      <c r="B24" s="1" t="s">
        <v>835</v>
      </c>
      <c r="C24" s="1" t="n">
        <v>1</v>
      </c>
      <c r="D24" s="1" t="n">
        <v>0.75</v>
      </c>
      <c r="E24" s="1" t="n">
        <v>6</v>
      </c>
      <c r="F24" s="1" t="n">
        <v>0</v>
      </c>
      <c r="G24" s="1" t="n">
        <v>0</v>
      </c>
      <c r="H24" s="1" t="n">
        <v>4</v>
      </c>
      <c r="I24" s="1" t="n">
        <v>4</v>
      </c>
      <c r="J24" s="1" t="n">
        <v>75.7</v>
      </c>
      <c r="K24" s="1" t="n">
        <v>65.9</v>
      </c>
      <c r="L24" s="1" t="n">
        <v>2</v>
      </c>
    </row>
    <row r="25" customFormat="false" ht="12.75" hidden="false" customHeight="false" outlineLevel="0" collapsed="false">
      <c r="A25" s="1" t="s">
        <v>68</v>
      </c>
      <c r="B25" s="1" t="s">
        <v>835</v>
      </c>
      <c r="C25" s="1" t="n">
        <v>0</v>
      </c>
      <c r="D25" s="1" t="n">
        <v>0.667</v>
      </c>
      <c r="E25" s="1" t="n">
        <v>7</v>
      </c>
      <c r="F25" s="1" t="n">
        <v>1</v>
      </c>
      <c r="G25" s="1" t="n">
        <v>0</v>
      </c>
      <c r="H25" s="1" t="n">
        <v>2</v>
      </c>
      <c r="I25" s="1" t="n">
        <v>3</v>
      </c>
      <c r="J25" s="1" t="n">
        <v>66.4</v>
      </c>
      <c r="K25" s="1" t="n">
        <v>63.4</v>
      </c>
      <c r="L25" s="1" t="n">
        <v>1</v>
      </c>
    </row>
    <row r="26" customFormat="false" ht="12.75" hidden="false" customHeight="false" outlineLevel="0" collapsed="false">
      <c r="A26" s="1" t="s">
        <v>64</v>
      </c>
      <c r="B26" s="1" t="s">
        <v>835</v>
      </c>
      <c r="C26" s="1" t="n">
        <v>2</v>
      </c>
      <c r="D26" s="1" t="n">
        <v>0.727</v>
      </c>
      <c r="E26" s="1" t="n">
        <v>5</v>
      </c>
      <c r="F26" s="1" t="n">
        <v>0</v>
      </c>
      <c r="G26" s="1" t="n">
        <v>1</v>
      </c>
      <c r="H26" s="1" t="n">
        <v>5</v>
      </c>
      <c r="I26" s="1" t="n">
        <v>7</v>
      </c>
      <c r="J26" s="1" t="n">
        <v>83.1</v>
      </c>
      <c r="K26" s="1" t="n">
        <v>80.4</v>
      </c>
      <c r="L26" s="1" t="n">
        <v>3</v>
      </c>
    </row>
    <row r="27" customFormat="false" ht="12.75" hidden="false" customHeight="false" outlineLevel="0" collapsed="false">
      <c r="A27" s="1" t="s">
        <v>841</v>
      </c>
      <c r="B27" s="1" t="s">
        <v>835</v>
      </c>
      <c r="C27" s="1" t="n">
        <v>0</v>
      </c>
      <c r="D27" s="1" t="n">
        <v>0.743</v>
      </c>
      <c r="E27" s="1" t="n">
        <v>5</v>
      </c>
      <c r="F27" s="1" t="n">
        <v>0</v>
      </c>
      <c r="G27" s="1" t="n">
        <v>1</v>
      </c>
      <c r="H27" s="1" t="n">
        <v>3</v>
      </c>
      <c r="I27" s="1" t="n">
        <v>3</v>
      </c>
      <c r="J27" s="1" t="n">
        <v>70.1</v>
      </c>
      <c r="K27" s="1" t="n">
        <v>65.6</v>
      </c>
      <c r="L27" s="1" t="n">
        <v>0</v>
      </c>
    </row>
    <row r="28" customFormat="false" ht="12.75" hidden="false" customHeight="false" outlineLevel="0" collapsed="false">
      <c r="A28" s="1" t="s">
        <v>47</v>
      </c>
      <c r="B28" s="1" t="s">
        <v>835</v>
      </c>
      <c r="C28" s="1" t="n">
        <v>1</v>
      </c>
      <c r="D28" s="1" t="n">
        <v>0.735</v>
      </c>
      <c r="E28" s="1" t="n">
        <v>8</v>
      </c>
      <c r="F28" s="1" t="n">
        <v>1</v>
      </c>
      <c r="G28" s="1" t="n">
        <v>1</v>
      </c>
      <c r="H28" s="1" t="n">
        <v>7</v>
      </c>
      <c r="I28" s="1" t="n">
        <v>6</v>
      </c>
      <c r="J28" s="1" t="n">
        <v>76.9</v>
      </c>
      <c r="K28" s="1" t="n">
        <v>67.7</v>
      </c>
      <c r="L28" s="1" t="n">
        <v>2</v>
      </c>
    </row>
    <row r="29" customFormat="false" ht="12.75" hidden="false" customHeight="false" outlineLevel="0" collapsed="false">
      <c r="A29" s="1" t="s">
        <v>25</v>
      </c>
      <c r="B29" s="1" t="s">
        <v>835</v>
      </c>
      <c r="C29" s="1" t="n">
        <v>0</v>
      </c>
      <c r="D29" s="1" t="n">
        <v>0.667</v>
      </c>
      <c r="E29" s="1" t="n">
        <v>10</v>
      </c>
      <c r="F29" s="1" t="n">
        <v>1</v>
      </c>
      <c r="G29" s="1" t="n">
        <v>0</v>
      </c>
      <c r="H29" s="1" t="n">
        <v>0</v>
      </c>
      <c r="I29" s="1" t="n">
        <v>3</v>
      </c>
      <c r="J29" s="1" t="n">
        <v>69.9</v>
      </c>
      <c r="K29" s="1" t="n">
        <v>66.9</v>
      </c>
      <c r="L29" s="1" t="n">
        <v>0</v>
      </c>
    </row>
    <row r="30" customFormat="false" ht="12.75" hidden="false" customHeight="false" outlineLevel="0" collapsed="false">
      <c r="A30" s="1" t="s">
        <v>842</v>
      </c>
      <c r="B30" s="1" t="s">
        <v>835</v>
      </c>
      <c r="C30" s="1" t="n">
        <v>0</v>
      </c>
      <c r="D30" s="1" t="n">
        <v>0.656</v>
      </c>
      <c r="E30" s="1" t="n">
        <v>5</v>
      </c>
      <c r="F30" s="1" t="n">
        <v>0</v>
      </c>
      <c r="G30" s="1" t="n">
        <v>1</v>
      </c>
      <c r="H30" s="1" t="n">
        <v>6</v>
      </c>
      <c r="I30" s="1" t="n">
        <v>6</v>
      </c>
      <c r="J30" s="1" t="n">
        <v>69.7</v>
      </c>
      <c r="K30" s="1" t="n">
        <v>65</v>
      </c>
      <c r="L30" s="1" t="n">
        <v>3</v>
      </c>
    </row>
    <row r="31" customFormat="false" ht="12.75" hidden="false" customHeight="false" outlineLevel="0" collapsed="false">
      <c r="A31" s="1" t="s">
        <v>843</v>
      </c>
      <c r="B31" s="1" t="s">
        <v>835</v>
      </c>
      <c r="C31" s="1" t="n">
        <v>1</v>
      </c>
      <c r="D31" s="1" t="n">
        <v>0.667</v>
      </c>
      <c r="E31" s="1" t="n">
        <v>6</v>
      </c>
      <c r="F31" s="1" t="n">
        <v>0</v>
      </c>
      <c r="G31" s="1" t="n">
        <v>0</v>
      </c>
      <c r="H31" s="1" t="n">
        <v>3</v>
      </c>
      <c r="I31" s="1" t="n">
        <v>3</v>
      </c>
      <c r="J31" s="1" t="n">
        <v>67.3</v>
      </c>
      <c r="K31" s="1" t="n">
        <v>63.3</v>
      </c>
      <c r="L31" s="1" t="n">
        <v>1</v>
      </c>
    </row>
    <row r="32" customFormat="false" ht="12.75" hidden="false" customHeight="false" outlineLevel="0" collapsed="false">
      <c r="A32" s="1" t="s">
        <v>24</v>
      </c>
      <c r="B32" s="1" t="s">
        <v>835</v>
      </c>
      <c r="C32" s="1" t="n">
        <v>6</v>
      </c>
      <c r="D32" s="1" t="n">
        <v>0.897</v>
      </c>
      <c r="E32" s="1" t="n">
        <v>9</v>
      </c>
      <c r="F32" s="1" t="n">
        <v>1</v>
      </c>
      <c r="G32" s="1" t="n">
        <v>1</v>
      </c>
      <c r="H32" s="1" t="n">
        <v>8</v>
      </c>
      <c r="I32" s="1" t="n">
        <v>2</v>
      </c>
      <c r="J32" s="1" t="n">
        <v>80.1</v>
      </c>
      <c r="K32" s="1" t="n">
        <v>67</v>
      </c>
      <c r="L32" s="1" t="n">
        <v>3</v>
      </c>
    </row>
    <row r="33" customFormat="false" ht="12.75" hidden="false" customHeight="false" outlineLevel="0" collapsed="false">
      <c r="A33" s="1" t="s">
        <v>581</v>
      </c>
      <c r="B33" s="1" t="s">
        <v>835</v>
      </c>
      <c r="C33" s="1" t="n">
        <v>0</v>
      </c>
      <c r="D33" s="1" t="n">
        <v>0.733</v>
      </c>
      <c r="E33" s="1" t="n">
        <v>9</v>
      </c>
      <c r="F33" s="1" t="n">
        <v>1</v>
      </c>
      <c r="G33" s="1" t="n">
        <v>0</v>
      </c>
      <c r="H33" s="1" t="n">
        <v>0</v>
      </c>
      <c r="I33" s="1" t="n">
        <v>3</v>
      </c>
      <c r="J33" s="1" t="n">
        <v>74.3</v>
      </c>
      <c r="K33" s="1" t="n">
        <v>69.8</v>
      </c>
      <c r="L33" s="1" t="n">
        <v>1</v>
      </c>
    </row>
    <row r="34" customFormat="false" ht="12.75" hidden="false" customHeight="false" outlineLevel="0" collapsed="false">
      <c r="A34" s="1" t="s">
        <v>51</v>
      </c>
      <c r="B34" s="1" t="s">
        <v>835</v>
      </c>
      <c r="C34" s="1" t="n">
        <v>4</v>
      </c>
      <c r="D34" s="1" t="n">
        <v>0.895</v>
      </c>
      <c r="E34" s="1" t="n">
        <v>8</v>
      </c>
      <c r="F34" s="1" t="n">
        <v>1</v>
      </c>
      <c r="G34" s="1" t="n">
        <v>1</v>
      </c>
      <c r="H34" s="1" t="n">
        <v>10</v>
      </c>
      <c r="I34" s="1" t="n">
        <v>2</v>
      </c>
      <c r="J34" s="1" t="n">
        <v>81.9</v>
      </c>
      <c r="K34" s="1" t="n">
        <v>65.6</v>
      </c>
    </row>
    <row r="35" customFormat="false" ht="12.75" hidden="false" customHeight="false" outlineLevel="0" collapsed="false">
      <c r="A35" s="1" t="s">
        <v>844</v>
      </c>
      <c r="B35" s="1" t="s">
        <v>835</v>
      </c>
      <c r="C35" s="1" t="n">
        <v>0</v>
      </c>
      <c r="D35" s="1" t="n">
        <v>0.633</v>
      </c>
      <c r="E35" s="1" t="n">
        <v>7</v>
      </c>
      <c r="F35" s="1" t="n">
        <v>1</v>
      </c>
      <c r="G35" s="1" t="n">
        <v>0</v>
      </c>
      <c r="H35" s="1" t="n">
        <v>0</v>
      </c>
      <c r="I35" s="1" t="n">
        <v>0</v>
      </c>
      <c r="J35" s="1" t="n">
        <v>70.6</v>
      </c>
      <c r="K35" s="1" t="n">
        <v>65.7</v>
      </c>
    </row>
    <row r="36" customFormat="false" ht="12.75" hidden="false" customHeight="false" outlineLevel="0" collapsed="false">
      <c r="A36" s="1" t="s">
        <v>559</v>
      </c>
      <c r="B36" s="1" t="s">
        <v>835</v>
      </c>
      <c r="C36" s="1" t="n">
        <v>1</v>
      </c>
      <c r="D36" s="1" t="n">
        <v>0.645</v>
      </c>
      <c r="E36" s="1" t="n">
        <v>7</v>
      </c>
      <c r="F36" s="1" t="n">
        <v>0</v>
      </c>
      <c r="G36" s="1" t="n">
        <v>0</v>
      </c>
      <c r="H36" s="1" t="n">
        <v>1</v>
      </c>
      <c r="I36" s="1" t="n">
        <v>3</v>
      </c>
      <c r="J36" s="1" t="n">
        <v>73.6</v>
      </c>
      <c r="K36" s="1" t="n">
        <v>68.2</v>
      </c>
    </row>
    <row r="37" customFormat="false" ht="12.75" hidden="false" customHeight="false" outlineLevel="0" collapsed="false">
      <c r="A37" s="1" t="s">
        <v>845</v>
      </c>
      <c r="B37" s="1" t="s">
        <v>835</v>
      </c>
      <c r="C37" s="1" t="n">
        <v>0</v>
      </c>
      <c r="D37" s="1" t="n">
        <v>0.786</v>
      </c>
      <c r="E37" s="1" t="n">
        <v>9</v>
      </c>
      <c r="F37" s="1" t="n">
        <v>0</v>
      </c>
      <c r="G37" s="1" t="n">
        <v>0</v>
      </c>
      <c r="H37" s="1" t="n">
        <v>4</v>
      </c>
      <c r="I37" s="1" t="n">
        <v>2</v>
      </c>
      <c r="J37" s="1" t="n">
        <v>74.6</v>
      </c>
      <c r="K37" s="1" t="n">
        <v>66.1</v>
      </c>
    </row>
    <row r="38" customFormat="false" ht="12.75" hidden="false" customHeight="false" outlineLevel="0" collapsed="false">
      <c r="A38" s="1" t="s">
        <v>124</v>
      </c>
      <c r="B38" s="1" t="s">
        <v>835</v>
      </c>
      <c r="C38" s="1" t="n">
        <v>1</v>
      </c>
      <c r="D38" s="1" t="n">
        <v>0.931</v>
      </c>
      <c r="E38" s="1" t="n">
        <v>10</v>
      </c>
      <c r="F38" s="1" t="n">
        <v>0</v>
      </c>
      <c r="G38" s="1" t="n">
        <v>0</v>
      </c>
      <c r="H38" s="1" t="n">
        <v>0</v>
      </c>
      <c r="I38" s="1" t="n">
        <v>1</v>
      </c>
      <c r="J38" s="1" t="n">
        <v>66.8</v>
      </c>
      <c r="K38" s="1" t="n">
        <v>51.6</v>
      </c>
    </row>
    <row r="39" customFormat="false" ht="12.75" hidden="false" customHeight="false" outlineLevel="0" collapsed="false">
      <c r="A39" s="1" t="s">
        <v>846</v>
      </c>
      <c r="B39" s="1" t="s">
        <v>835</v>
      </c>
      <c r="C39" s="1" t="n">
        <v>0</v>
      </c>
      <c r="D39" s="1" t="n">
        <v>0.606</v>
      </c>
      <c r="E39" s="1" t="n">
        <v>6</v>
      </c>
      <c r="F39" s="1" t="n">
        <v>1</v>
      </c>
      <c r="G39" s="1" t="n">
        <v>0</v>
      </c>
      <c r="H39" s="1" t="n">
        <v>1</v>
      </c>
      <c r="I39" s="1" t="n">
        <v>9</v>
      </c>
      <c r="J39" s="1" t="n">
        <v>69.2</v>
      </c>
      <c r="K39" s="1" t="n">
        <v>67.1</v>
      </c>
    </row>
    <row r="40" customFormat="false" ht="12.75" hidden="false" customHeight="false" outlineLevel="0" collapsed="false">
      <c r="A40" s="1" t="s">
        <v>194</v>
      </c>
      <c r="B40" s="1" t="s">
        <v>835</v>
      </c>
      <c r="C40" s="1" t="n">
        <v>1</v>
      </c>
      <c r="D40" s="1" t="n">
        <v>0.733</v>
      </c>
      <c r="E40" s="1" t="n">
        <v>8</v>
      </c>
      <c r="F40" s="1" t="n">
        <v>0</v>
      </c>
      <c r="G40" s="1" t="n">
        <v>1</v>
      </c>
      <c r="H40" s="1" t="n">
        <v>6</v>
      </c>
      <c r="I40" s="1" t="n">
        <v>5</v>
      </c>
      <c r="J40" s="1" t="n">
        <v>73.4</v>
      </c>
      <c r="K40" s="1" t="n">
        <v>64</v>
      </c>
    </row>
    <row r="41" customFormat="false" ht="12.75" hidden="false" customHeight="false" outlineLevel="0" collapsed="false">
      <c r="A41" s="1" t="s">
        <v>847</v>
      </c>
      <c r="B41" s="1" t="s">
        <v>835</v>
      </c>
      <c r="C41" s="1" t="n">
        <v>0</v>
      </c>
      <c r="D41" s="1" t="n">
        <v>0.667</v>
      </c>
      <c r="E41" s="1" t="n">
        <v>8</v>
      </c>
      <c r="F41" s="1" t="n">
        <v>1</v>
      </c>
      <c r="G41" s="1" t="n">
        <v>0</v>
      </c>
      <c r="H41" s="1" t="n">
        <v>1</v>
      </c>
      <c r="I41" s="1" t="n">
        <v>3</v>
      </c>
      <c r="J41" s="1" t="n">
        <v>79.8</v>
      </c>
      <c r="K41" s="1" t="n">
        <v>75.7</v>
      </c>
    </row>
    <row r="42" customFormat="false" ht="12.75" hidden="false" customHeight="false" outlineLevel="0" collapsed="false">
      <c r="A42" s="1" t="s">
        <v>36</v>
      </c>
      <c r="B42" s="1" t="s">
        <v>835</v>
      </c>
      <c r="C42" s="1" t="n">
        <v>0</v>
      </c>
      <c r="D42" s="1" t="n">
        <v>0.733</v>
      </c>
      <c r="E42" s="1" t="n">
        <v>7</v>
      </c>
      <c r="F42" s="1" t="n">
        <v>1</v>
      </c>
      <c r="G42" s="1" t="n">
        <v>0</v>
      </c>
      <c r="H42" s="1" t="n">
        <v>3</v>
      </c>
      <c r="I42" s="1" t="n">
        <v>4</v>
      </c>
      <c r="J42" s="1" t="n">
        <v>83.5</v>
      </c>
      <c r="K42" s="1" t="n">
        <v>68.8</v>
      </c>
    </row>
    <row r="43" customFormat="false" ht="12.75" hidden="false" customHeight="false" outlineLevel="0" collapsed="false">
      <c r="A43" s="1" t="s">
        <v>472</v>
      </c>
      <c r="B43" s="1" t="s">
        <v>835</v>
      </c>
      <c r="C43" s="1" t="n">
        <v>2</v>
      </c>
      <c r="D43" s="1" t="n">
        <v>0.667</v>
      </c>
      <c r="E43" s="1" t="n">
        <v>5</v>
      </c>
      <c r="F43" s="1" t="n">
        <v>0</v>
      </c>
      <c r="G43" s="1" t="n">
        <v>0</v>
      </c>
      <c r="H43" s="1" t="n">
        <v>1</v>
      </c>
      <c r="I43" s="1" t="n">
        <v>6</v>
      </c>
      <c r="J43" s="1" t="n">
        <v>78.6</v>
      </c>
      <c r="K43" s="1" t="n">
        <v>76.6</v>
      </c>
    </row>
    <row r="44" customFormat="false" ht="12.75" hidden="false" customHeight="false" outlineLevel="0" collapsed="false">
      <c r="A44" s="1" t="s">
        <v>126</v>
      </c>
      <c r="B44" s="1" t="s">
        <v>835</v>
      </c>
      <c r="C44" s="1" t="n">
        <v>0</v>
      </c>
      <c r="D44" s="1" t="n">
        <v>0.742</v>
      </c>
      <c r="E44" s="1" t="n">
        <v>7</v>
      </c>
      <c r="F44" s="1" t="n">
        <v>0</v>
      </c>
      <c r="G44" s="1" t="n">
        <v>1</v>
      </c>
      <c r="H44" s="1" t="n">
        <v>3</v>
      </c>
      <c r="I44" s="1" t="n">
        <v>5</v>
      </c>
      <c r="J44" s="1" t="n">
        <v>71.3</v>
      </c>
      <c r="K44" s="1" t="n">
        <v>67.4</v>
      </c>
    </row>
    <row r="45" customFormat="false" ht="12.75" hidden="false" customHeight="false" outlineLevel="0" collapsed="false">
      <c r="A45" s="1" t="s">
        <v>465</v>
      </c>
      <c r="B45" s="1" t="s">
        <v>835</v>
      </c>
      <c r="C45" s="1" t="n">
        <v>1</v>
      </c>
      <c r="D45" s="1" t="n">
        <v>0.742</v>
      </c>
      <c r="E45" s="1" t="n">
        <v>8</v>
      </c>
      <c r="F45" s="1" t="n">
        <v>1</v>
      </c>
      <c r="G45" s="1" t="n">
        <v>0</v>
      </c>
      <c r="H45" s="1" t="n">
        <v>0</v>
      </c>
      <c r="I45" s="1" t="n">
        <v>1</v>
      </c>
      <c r="J45" s="1" t="n">
        <v>70</v>
      </c>
      <c r="K45" s="1" t="n">
        <v>61.9</v>
      </c>
    </row>
    <row r="46" customFormat="false" ht="12.75" hidden="false" customHeight="false" outlineLevel="0" collapsed="false">
      <c r="A46" s="1" t="s">
        <v>190</v>
      </c>
      <c r="B46" s="1" t="s">
        <v>835</v>
      </c>
      <c r="C46" s="1" t="n">
        <v>1</v>
      </c>
      <c r="D46" s="1" t="n">
        <v>0.625</v>
      </c>
      <c r="E46" s="1" t="n">
        <v>5</v>
      </c>
      <c r="F46" s="1" t="n">
        <v>0</v>
      </c>
      <c r="G46" s="1" t="n">
        <v>1</v>
      </c>
      <c r="H46" s="1" t="n">
        <v>4</v>
      </c>
      <c r="I46" s="1" t="n">
        <v>9</v>
      </c>
      <c r="J46" s="1" t="n">
        <v>76.8</v>
      </c>
      <c r="K46" s="1" t="n">
        <v>73.3</v>
      </c>
    </row>
    <row r="47" customFormat="false" ht="12.75" hidden="false" customHeight="false" outlineLevel="0" collapsed="false">
      <c r="A47" s="1" t="s">
        <v>85</v>
      </c>
      <c r="B47" s="1" t="s">
        <v>835</v>
      </c>
      <c r="C47" s="1" t="n">
        <v>0</v>
      </c>
      <c r="D47" s="1" t="n">
        <v>0.667</v>
      </c>
      <c r="E47" s="1" t="n">
        <v>5</v>
      </c>
      <c r="F47" s="1" t="n">
        <v>0</v>
      </c>
      <c r="G47" s="1" t="n">
        <v>1</v>
      </c>
      <c r="H47" s="1" t="n">
        <v>0</v>
      </c>
      <c r="I47" s="1" t="n">
        <v>3</v>
      </c>
      <c r="J47" s="1" t="n">
        <v>74.6</v>
      </c>
      <c r="K47" s="1" t="n">
        <v>68.3</v>
      </c>
    </row>
    <row r="48" customFormat="false" ht="12.75" hidden="false" customHeight="false" outlineLevel="0" collapsed="false">
      <c r="A48" s="1" t="s">
        <v>182</v>
      </c>
      <c r="B48" s="1" t="s">
        <v>835</v>
      </c>
      <c r="C48" s="1" t="n">
        <v>3</v>
      </c>
      <c r="D48" s="1" t="n">
        <v>0.865</v>
      </c>
      <c r="E48" s="1" t="n">
        <v>8</v>
      </c>
      <c r="F48" s="1" t="n">
        <v>1</v>
      </c>
      <c r="G48" s="1" t="n">
        <v>1</v>
      </c>
      <c r="H48" s="1" t="n">
        <v>5</v>
      </c>
      <c r="I48" s="1" t="n">
        <v>2</v>
      </c>
      <c r="J48" s="1" t="n">
        <v>76.6</v>
      </c>
      <c r="K48" s="1" t="n">
        <v>63.9</v>
      </c>
    </row>
    <row r="49" customFormat="false" ht="12.75" hidden="false" customHeight="false" outlineLevel="0" collapsed="false">
      <c r="A49" s="1" t="s">
        <v>184</v>
      </c>
      <c r="B49" s="1" t="s">
        <v>835</v>
      </c>
      <c r="C49" s="1" t="n">
        <v>0</v>
      </c>
      <c r="D49" s="1" t="n">
        <v>0.767</v>
      </c>
      <c r="E49" s="1" t="n">
        <v>7</v>
      </c>
      <c r="F49" s="1" t="n">
        <v>1</v>
      </c>
      <c r="G49" s="1" t="n">
        <v>0</v>
      </c>
      <c r="H49" s="1" t="n">
        <v>0</v>
      </c>
      <c r="I49" s="1" t="n">
        <v>1</v>
      </c>
      <c r="J49" s="1" t="n">
        <v>83.9</v>
      </c>
      <c r="K49" s="1" t="n">
        <v>75.6</v>
      </c>
    </row>
    <row r="50" customFormat="false" ht="12.75" hidden="false" customHeight="false" outlineLevel="0" collapsed="false">
      <c r="A50" s="1" t="s">
        <v>26</v>
      </c>
      <c r="B50" s="1" t="s">
        <v>835</v>
      </c>
      <c r="C50" s="1" t="n">
        <v>3</v>
      </c>
      <c r="D50" s="1" t="n">
        <v>0.857</v>
      </c>
      <c r="E50" s="1" t="n">
        <v>9</v>
      </c>
      <c r="F50" s="1" t="n">
        <v>0</v>
      </c>
      <c r="G50" s="1" t="n">
        <v>0</v>
      </c>
      <c r="H50" s="1" t="n">
        <v>8</v>
      </c>
      <c r="I50" s="1" t="n">
        <v>3</v>
      </c>
      <c r="J50" s="1" t="n">
        <v>90.8</v>
      </c>
      <c r="K50" s="1" t="n">
        <v>74.6</v>
      </c>
      <c r="L50" s="1" t="n">
        <v>3</v>
      </c>
    </row>
    <row r="51" customFormat="false" ht="12.75" hidden="false" customHeight="false" outlineLevel="0" collapsed="false">
      <c r="A51" s="1" t="s">
        <v>848</v>
      </c>
      <c r="B51" s="1" t="s">
        <v>835</v>
      </c>
      <c r="C51" s="1" t="n">
        <v>1</v>
      </c>
      <c r="D51" s="1" t="n">
        <v>0.818</v>
      </c>
      <c r="E51" s="1" t="n">
        <v>9</v>
      </c>
      <c r="F51" s="1" t="n">
        <v>1</v>
      </c>
      <c r="G51" s="1" t="n">
        <v>0</v>
      </c>
      <c r="H51" s="1" t="n">
        <v>3</v>
      </c>
      <c r="I51" s="1" t="n">
        <v>3</v>
      </c>
      <c r="J51" s="1" t="n">
        <v>76.1</v>
      </c>
      <c r="K51" s="1" t="n">
        <v>63.2</v>
      </c>
      <c r="L51" s="1" t="n">
        <v>3</v>
      </c>
    </row>
    <row r="52" customFormat="false" ht="12.75" hidden="false" customHeight="false" outlineLevel="0" collapsed="false">
      <c r="A52" s="1" t="s">
        <v>206</v>
      </c>
      <c r="B52" s="1" t="s">
        <v>835</v>
      </c>
      <c r="C52" s="1" t="n">
        <v>5</v>
      </c>
      <c r="D52" s="1" t="n">
        <v>0.882</v>
      </c>
      <c r="E52" s="1" t="n">
        <v>7</v>
      </c>
      <c r="F52" s="1" t="n">
        <v>0</v>
      </c>
      <c r="G52" s="1" t="n">
        <v>0</v>
      </c>
      <c r="H52" s="1" t="n">
        <v>4</v>
      </c>
      <c r="I52" s="1" t="n">
        <v>1</v>
      </c>
      <c r="J52" s="1" t="n">
        <v>69.8</v>
      </c>
      <c r="K52" s="1" t="n">
        <v>57.6</v>
      </c>
      <c r="L52" s="1" t="n">
        <v>3</v>
      </c>
    </row>
    <row r="53" customFormat="false" ht="12.75" hidden="false" customHeight="false" outlineLevel="0" collapsed="false">
      <c r="A53" s="1" t="s">
        <v>111</v>
      </c>
      <c r="B53" s="1" t="s">
        <v>835</v>
      </c>
      <c r="C53" s="1" t="n">
        <v>2</v>
      </c>
      <c r="D53" s="1" t="n">
        <v>0.656</v>
      </c>
      <c r="E53" s="1" t="n">
        <v>7</v>
      </c>
      <c r="F53" s="1" t="n">
        <v>0</v>
      </c>
      <c r="G53" s="1" t="n">
        <v>1</v>
      </c>
      <c r="H53" s="1" t="n">
        <v>7</v>
      </c>
      <c r="I53" s="1" t="n">
        <v>6</v>
      </c>
      <c r="J53" s="1" t="n">
        <v>78.8</v>
      </c>
      <c r="K53" s="1" t="n">
        <v>72.1</v>
      </c>
      <c r="L53" s="1" t="n">
        <v>3</v>
      </c>
    </row>
    <row r="54" customFormat="false" ht="12.75" hidden="false" customHeight="false" outlineLevel="0" collapsed="false">
      <c r="A54" s="1" t="s">
        <v>363</v>
      </c>
      <c r="B54" s="1" t="s">
        <v>835</v>
      </c>
      <c r="C54" s="1" t="n">
        <v>1</v>
      </c>
      <c r="D54" s="1" t="n">
        <v>0.697</v>
      </c>
      <c r="E54" s="1" t="n">
        <v>8</v>
      </c>
      <c r="F54" s="1" t="n">
        <v>0</v>
      </c>
      <c r="G54" s="1" t="n">
        <v>1</v>
      </c>
      <c r="H54" s="1" t="n">
        <v>8</v>
      </c>
      <c r="I54" s="1" t="n">
        <v>4</v>
      </c>
      <c r="J54" s="1" t="n">
        <v>69.7</v>
      </c>
      <c r="K54" s="1" t="n">
        <v>63.5</v>
      </c>
      <c r="L54" s="1" t="n">
        <v>2</v>
      </c>
    </row>
    <row r="55" customFormat="false" ht="12.75" hidden="false" customHeight="false" outlineLevel="0" collapsed="false">
      <c r="A55" s="1" t="s">
        <v>849</v>
      </c>
      <c r="B55" s="1" t="s">
        <v>835</v>
      </c>
      <c r="C55" s="1" t="n">
        <v>1</v>
      </c>
      <c r="D55" s="1" t="n">
        <v>0.727</v>
      </c>
      <c r="E55" s="1" t="n">
        <v>5</v>
      </c>
      <c r="F55" s="1" t="n">
        <v>0</v>
      </c>
      <c r="G55" s="1" t="n">
        <v>1</v>
      </c>
      <c r="H55" s="1" t="n">
        <v>2</v>
      </c>
      <c r="I55" s="1" t="n">
        <v>4</v>
      </c>
      <c r="J55" s="1" t="n">
        <v>83</v>
      </c>
      <c r="K55" s="1" t="n">
        <v>72.7</v>
      </c>
      <c r="L55" s="1" t="n">
        <v>2</v>
      </c>
    </row>
    <row r="56" customFormat="false" ht="12.75" hidden="false" customHeight="false" outlineLevel="0" collapsed="false">
      <c r="A56" s="1" t="s">
        <v>202</v>
      </c>
      <c r="B56" s="1" t="s">
        <v>835</v>
      </c>
      <c r="C56" s="1" t="n">
        <v>0</v>
      </c>
      <c r="D56" s="1" t="n">
        <v>0.7</v>
      </c>
      <c r="E56" s="1" t="n">
        <v>8</v>
      </c>
      <c r="F56" s="1" t="n">
        <v>0</v>
      </c>
      <c r="G56" s="1" t="n">
        <v>0</v>
      </c>
      <c r="H56" s="1" t="n">
        <v>6</v>
      </c>
      <c r="I56" s="1" t="n">
        <v>4</v>
      </c>
      <c r="J56" s="1" t="n">
        <v>65.7</v>
      </c>
      <c r="K56" s="1" t="n">
        <v>60.7</v>
      </c>
      <c r="L56" s="1" t="n">
        <v>3</v>
      </c>
    </row>
    <row r="57" customFormat="false" ht="12.75" hidden="false" customHeight="false" outlineLevel="0" collapsed="false">
      <c r="A57" s="1" t="s">
        <v>336</v>
      </c>
      <c r="B57" s="1" t="s">
        <v>835</v>
      </c>
      <c r="C57" s="1" t="n">
        <v>0</v>
      </c>
      <c r="D57" s="1" t="n">
        <v>0.69</v>
      </c>
      <c r="E57" s="1" t="n">
        <v>7</v>
      </c>
      <c r="F57" s="1" t="n">
        <v>0</v>
      </c>
      <c r="G57" s="1" t="n">
        <v>1</v>
      </c>
      <c r="H57" s="1" t="n">
        <v>2</v>
      </c>
      <c r="I57" s="1" t="n">
        <v>3</v>
      </c>
      <c r="J57" s="1" t="n">
        <v>75.9</v>
      </c>
      <c r="K57" s="1" t="n">
        <v>70.6</v>
      </c>
      <c r="L57" s="1" t="n">
        <v>0</v>
      </c>
    </row>
    <row r="58" customFormat="false" ht="12.75" hidden="false" customHeight="false" outlineLevel="0" collapsed="false">
      <c r="A58" s="1" t="s">
        <v>850</v>
      </c>
      <c r="B58" s="1" t="s">
        <v>835</v>
      </c>
      <c r="C58" s="1" t="n">
        <v>1</v>
      </c>
      <c r="D58" s="1" t="n">
        <v>0.806</v>
      </c>
      <c r="E58" s="1" t="n">
        <v>9</v>
      </c>
      <c r="F58" s="1" t="n">
        <v>1</v>
      </c>
      <c r="G58" s="1" t="n">
        <v>0</v>
      </c>
      <c r="H58" s="1" t="n">
        <v>0</v>
      </c>
      <c r="I58" s="1" t="n">
        <v>1</v>
      </c>
      <c r="J58" s="1" t="n">
        <v>75.4</v>
      </c>
      <c r="K58" s="1" t="n">
        <v>69.2</v>
      </c>
      <c r="L58" s="1" t="n">
        <v>1</v>
      </c>
    </row>
    <row r="59" customFormat="false" ht="12.75" hidden="false" customHeight="false" outlineLevel="0" collapsed="false">
      <c r="A59" s="1" t="s">
        <v>58</v>
      </c>
      <c r="B59" s="1" t="s">
        <v>835</v>
      </c>
      <c r="C59" s="1" t="n">
        <v>2</v>
      </c>
      <c r="D59" s="1" t="n">
        <v>0.727</v>
      </c>
      <c r="E59" s="1" t="n">
        <v>5</v>
      </c>
      <c r="F59" s="1" t="n">
        <v>0</v>
      </c>
      <c r="G59" s="1" t="n">
        <v>1</v>
      </c>
      <c r="H59" s="1" t="n">
        <v>1</v>
      </c>
      <c r="I59" s="1" t="n">
        <v>2</v>
      </c>
      <c r="J59" s="1" t="n">
        <v>80.2</v>
      </c>
      <c r="K59" s="1" t="n">
        <v>69.2</v>
      </c>
      <c r="L59" s="1" t="n">
        <v>0</v>
      </c>
    </row>
    <row r="60" customFormat="false" ht="12.75" hidden="false" customHeight="false" outlineLevel="0" collapsed="false">
      <c r="A60" s="1" t="s">
        <v>329</v>
      </c>
      <c r="B60" s="1" t="s">
        <v>835</v>
      </c>
      <c r="C60" s="1" t="n">
        <v>0</v>
      </c>
      <c r="D60" s="1" t="n">
        <v>0.625</v>
      </c>
      <c r="E60" s="1" t="n">
        <v>7</v>
      </c>
      <c r="F60" s="1" t="n">
        <v>0</v>
      </c>
      <c r="G60" s="1" t="n">
        <v>1</v>
      </c>
      <c r="H60" s="1" t="n">
        <v>1</v>
      </c>
      <c r="I60" s="1" t="n">
        <v>2</v>
      </c>
      <c r="J60" s="1" t="n">
        <v>71.6</v>
      </c>
      <c r="K60" s="1" t="n">
        <v>68.5</v>
      </c>
      <c r="L60" s="1" t="n">
        <v>0</v>
      </c>
    </row>
    <row r="61" customFormat="false" ht="12.75" hidden="false" customHeight="false" outlineLevel="0" collapsed="false">
      <c r="A61" s="1" t="s">
        <v>524</v>
      </c>
      <c r="B61" s="1" t="s">
        <v>835</v>
      </c>
      <c r="C61" s="1" t="n">
        <v>0</v>
      </c>
      <c r="D61" s="1" t="n">
        <v>0.75</v>
      </c>
      <c r="E61" s="1" t="n">
        <v>8</v>
      </c>
      <c r="F61" s="1" t="n">
        <v>1</v>
      </c>
      <c r="G61" s="1" t="n">
        <v>0</v>
      </c>
      <c r="H61" s="1" t="n">
        <v>1</v>
      </c>
      <c r="I61" s="1" t="n">
        <v>1</v>
      </c>
      <c r="J61" s="1" t="n">
        <v>65</v>
      </c>
      <c r="K61" s="1" t="n">
        <v>54.5</v>
      </c>
      <c r="L61" s="1" t="n">
        <v>1</v>
      </c>
    </row>
    <row r="62" customFormat="false" ht="12.75" hidden="false" customHeight="false" outlineLevel="0" collapsed="false">
      <c r="A62" s="1" t="s">
        <v>471</v>
      </c>
      <c r="B62" s="1" t="s">
        <v>835</v>
      </c>
      <c r="C62" s="1" t="n">
        <v>0</v>
      </c>
      <c r="D62" s="1" t="n">
        <v>0.758</v>
      </c>
      <c r="E62" s="1" t="n">
        <v>8</v>
      </c>
      <c r="F62" s="1" t="n">
        <v>1</v>
      </c>
      <c r="G62" s="1" t="n">
        <v>0</v>
      </c>
      <c r="H62" s="1" t="n">
        <v>1</v>
      </c>
      <c r="I62" s="1" t="n">
        <v>2</v>
      </c>
      <c r="J62" s="1" t="n">
        <v>70.5</v>
      </c>
      <c r="K62" s="1" t="n">
        <v>65.4</v>
      </c>
      <c r="L62" s="1" t="n">
        <v>0</v>
      </c>
    </row>
    <row r="63" customFormat="false" ht="12.75" hidden="false" customHeight="false" outlineLevel="0" collapsed="false">
      <c r="A63" s="1" t="s">
        <v>851</v>
      </c>
      <c r="B63" s="1" t="s">
        <v>835</v>
      </c>
      <c r="C63" s="1" t="n">
        <v>0</v>
      </c>
      <c r="D63" s="1" t="n">
        <v>0.633</v>
      </c>
      <c r="E63" s="1" t="n">
        <v>7</v>
      </c>
      <c r="F63" s="1" t="n">
        <v>1</v>
      </c>
      <c r="G63" s="1" t="n">
        <v>0</v>
      </c>
      <c r="H63" s="1" t="n">
        <v>1</v>
      </c>
      <c r="I63" s="1" t="n">
        <v>2</v>
      </c>
      <c r="J63" s="1" t="n">
        <v>73.2</v>
      </c>
      <c r="K63" s="1" t="n">
        <v>66.3</v>
      </c>
      <c r="L63" s="1" t="n">
        <v>0</v>
      </c>
    </row>
    <row r="64" customFormat="false" ht="12.75" hidden="false" customHeight="false" outlineLevel="0" collapsed="false">
      <c r="A64" s="1" t="s">
        <v>615</v>
      </c>
      <c r="B64" s="1" t="s">
        <v>835</v>
      </c>
      <c r="C64" s="1" t="n">
        <v>0</v>
      </c>
      <c r="D64" s="1" t="n">
        <v>0.724</v>
      </c>
      <c r="E64" s="1" t="n">
        <v>9</v>
      </c>
      <c r="F64" s="1" t="n">
        <v>1</v>
      </c>
      <c r="G64" s="1" t="n">
        <v>0</v>
      </c>
      <c r="H64" s="1" t="n">
        <v>0</v>
      </c>
      <c r="I64" s="1" t="n">
        <v>1</v>
      </c>
      <c r="J64" s="1" t="n">
        <v>79.5</v>
      </c>
      <c r="K64" s="1" t="n">
        <v>67.6</v>
      </c>
      <c r="L64" s="1" t="n">
        <v>0</v>
      </c>
    </row>
    <row r="65" customFormat="false" ht="12.75" hidden="false" customHeight="false" outlineLevel="0" collapsed="false">
      <c r="A65" s="1" t="s">
        <v>852</v>
      </c>
      <c r="B65" s="1" t="s">
        <v>835</v>
      </c>
      <c r="C65" s="1" t="n">
        <v>0</v>
      </c>
      <c r="D65" s="1" t="n">
        <v>0.655</v>
      </c>
      <c r="E65" s="1" t="n">
        <v>9</v>
      </c>
      <c r="F65" s="1" t="n">
        <v>1</v>
      </c>
      <c r="G65" s="1" t="n">
        <v>0</v>
      </c>
      <c r="H65" s="1" t="n">
        <v>0</v>
      </c>
      <c r="I65" s="1" t="n">
        <v>0</v>
      </c>
      <c r="J65" s="1" t="n">
        <v>76.5</v>
      </c>
      <c r="K65" s="1" t="n">
        <v>75.9</v>
      </c>
      <c r="L65" s="1" t="n"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C4" activeCellId="0" sqref="C4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27.23"/>
    <col collapsed="false" customWidth="true" hidden="false" outlineLevel="0" max="3" min="3" style="0" width="7.13"/>
    <col collapsed="false" customWidth="true" hidden="false" outlineLevel="0" max="4" min="4" style="0" width="6.57"/>
    <col collapsed="false" customWidth="true" hidden="false" outlineLevel="0" max="5" min="5" style="0" width="7.54"/>
    <col collapsed="false" customWidth="true" hidden="false" outlineLevel="0" max="6" min="6" style="0" width="18.61"/>
    <col collapsed="false" customWidth="true" hidden="false" outlineLevel="0" max="7" min="7" style="0" width="17.09"/>
    <col collapsed="false" customWidth="true" hidden="false" outlineLevel="0" max="8" min="8" style="0" width="12.22"/>
    <col collapsed="false" customWidth="true" hidden="false" outlineLevel="0" max="9" min="9" style="0" width="19.04"/>
    <col collapsed="false" customWidth="true" hidden="false" outlineLevel="0" max="10" min="10" style="0" width="7.82"/>
    <col collapsed="false" customWidth="true" hidden="false" outlineLevel="0" max="11" min="11" style="0" width="12.09"/>
    <col collapsed="false" customWidth="true" hidden="false" outlineLevel="0" max="12" min="12" style="0" width="17.78"/>
    <col collapsed="false" customWidth="true" hidden="false" outlineLevel="0" max="13" min="13" style="0" width="17.22"/>
    <col collapsed="false" customWidth="true" hidden="false" outlineLevel="0" max="14" min="14" style="0" width="20.29"/>
    <col collapsed="false" customWidth="true" hidden="false" outlineLevel="0" max="17" min="15" style="0" width="18.61"/>
    <col collapsed="false" customWidth="true" hidden="false" outlineLevel="0" max="18" min="18" style="0" width="26.95"/>
    <col collapsed="false" customWidth="true" hidden="false" outlineLevel="0" max="19" min="19" style="0" width="13.06"/>
    <col collapsed="false" customWidth="true" hidden="false" outlineLevel="0" max="20" min="20" style="0" width="25.42"/>
    <col collapsed="false" customWidth="true" hidden="false" outlineLevel="0" max="21" min="21" style="0" width="8.89"/>
    <col collapsed="false" customWidth="true" hidden="false" outlineLevel="0" max="22" min="22" style="0" width="21.81"/>
    <col collapsed="false" customWidth="true" hidden="false" outlineLevel="0" max="23" min="23" style="0" width="10.69"/>
    <col collapsed="false" customWidth="false" hidden="false" outlineLevel="0" max="1025" min="24" style="0" width="11.52"/>
  </cols>
  <sheetData>
    <row r="1" customFormat="false" ht="15.75" hidden="false" customHeight="true" outlineLevel="0" collapsed="false">
      <c r="A1" s="22" t="s">
        <v>2</v>
      </c>
      <c r="B1" s="22" t="s">
        <v>94</v>
      </c>
      <c r="C1" s="22" t="s">
        <v>95</v>
      </c>
      <c r="D1" s="23" t="str">
        <f aca="false">HYPERLINK("http://www.espn.com/mens-college-basketball/statistics/team/_/stat/field-goals","FG%")</f>
        <v>FG%</v>
      </c>
      <c r="E1" s="23" t="str">
        <f aca="false">HYPERLINK("http://www.espn.com/mens-college-basketball/rpi/_/sort/RPI","RPI")</f>
        <v>RPI</v>
      </c>
      <c r="F1" s="23" t="str">
        <f aca="false">HYPERLINK("https://kenpom.com/index.php?y=2017","Adj Off Efficiency")</f>
        <v>Adj Off Efficiency</v>
      </c>
      <c r="G1" s="23" t="str">
        <f aca="false">HYPERLINK("https://kenpom.com/index.php?y=2017","Adj Def Efficiency")</f>
        <v>Adj Def Efficiency</v>
      </c>
      <c r="H1" s="23" t="str">
        <f aca="false">HYPERLINK("http://kenpom.com/","Adj Off-Def")</f>
        <v>Adj Off-Def</v>
      </c>
      <c r="I1" s="22" t="s">
        <v>96</v>
      </c>
      <c r="J1" s="22" t="s">
        <v>97</v>
      </c>
      <c r="K1" s="22" t="s">
        <v>98</v>
      </c>
      <c r="L1" s="23" t="str">
        <f aca="false">HYPERLINK("https://www.teamrankings.com/ncaa-basketball/stat/average-scoring-marginAvg. Scoring margin","Avg. Scoring margin")</f>
        <v>Avg. Scoring margin</v>
      </c>
      <c r="M1" s="22" t="s">
        <v>8</v>
      </c>
      <c r="N1" s="22" t="s">
        <v>99</v>
      </c>
      <c r="O1" s="22" t="s">
        <v>100</v>
      </c>
      <c r="P1" s="23" t="str">
        <f aca="false">HYPERLINK("https://www.sports-reference.com/cbb/seasons/2017-coaches.html","Coach Record ")</f>
        <v>Coach Record</v>
      </c>
      <c r="Q1" s="23" t="str">
        <f aca="false">HYPERLINK("http://i.turner.ncaa.com/sites/default/files/external/printable-bracket/2017/bracket-ncaa.pdf","Seed")</f>
        <v>Seed</v>
      </c>
      <c r="R1" s="24" t="str">
        <f aca="false">HYPERLINK("https://www.teamrankings.com/ncaa-basketball/stat/opponent-points-per-game?date=2017-04-04","Points Allowed Per Game")</f>
        <v>Points Allowed Per Game</v>
      </c>
      <c r="S1" s="23" t="str">
        <f aca="false">HYPERLINK("http://www.espn.com/mens-college-basketball/statistics/team/_/stat/scoring-per-game/sort/gamesPlayed","Games Played")</f>
        <v>Games Played</v>
      </c>
      <c r="T1" s="23" t="str">
        <f aca="false">HYPERLINK("https://www.sports-reference.com/cbb/seasons/2017-coaches.html","Coach final four appearance")</f>
        <v>Coach final four appearance</v>
      </c>
      <c r="U1" s="23" t="str">
        <f aca="false">HYPERLINK("http://warrennolan.com/basketball/2017/polls","AP Poll")</f>
        <v>AP Poll</v>
      </c>
      <c r="V1" s="22" t="s">
        <v>101</v>
      </c>
      <c r="W1" s="23" t="str">
        <f aca="false">HYPERLINK("https://www.teamrankings.com/ncaa-basketball/stat/total-rebounds-per-game","Rebounds")</f>
        <v>Rebounds</v>
      </c>
    </row>
    <row r="2" customFormat="false" ht="14.25" hidden="false" customHeight="false" outlineLevel="0" collapsed="false">
      <c r="A2" s="1" t="s">
        <v>26</v>
      </c>
      <c r="B2" s="1" t="n">
        <v>9</v>
      </c>
      <c r="C2" s="1" t="n">
        <v>8.67</v>
      </c>
      <c r="D2" s="1" t="n">
        <v>0.476</v>
      </c>
      <c r="E2" s="1" t="n">
        <v>0.655</v>
      </c>
      <c r="F2" s="1" t="n">
        <v>118.4</v>
      </c>
      <c r="G2" s="1" t="n">
        <v>95.1</v>
      </c>
      <c r="H2" s="1" t="n">
        <v>22.74</v>
      </c>
      <c r="I2" s="1" t="n">
        <v>24</v>
      </c>
      <c r="J2" s="1" t="n">
        <v>0.882</v>
      </c>
      <c r="K2" s="1" t="n">
        <v>6</v>
      </c>
      <c r="L2" s="1" t="n">
        <v>10.8</v>
      </c>
      <c r="M2" s="1" t="n">
        <v>1</v>
      </c>
      <c r="N2" s="1" t="n">
        <v>11.4</v>
      </c>
      <c r="O2" s="1" t="n">
        <v>9</v>
      </c>
      <c r="P2" s="1" t="n">
        <v>0.751</v>
      </c>
      <c r="Q2" s="1" t="n">
        <v>2</v>
      </c>
      <c r="R2" s="1" t="n">
        <v>65.9</v>
      </c>
      <c r="S2" s="1" t="n">
        <v>34</v>
      </c>
      <c r="T2" s="1" t="n">
        <v>0</v>
      </c>
      <c r="U2" s="1" t="n">
        <v>4</v>
      </c>
      <c r="V2" s="1" t="n">
        <v>1</v>
      </c>
      <c r="W2" s="1" t="n">
        <v>36.1</v>
      </c>
    </row>
    <row r="3" customFormat="false" ht="14.25" hidden="false" customHeight="false" outlineLevel="0" collapsed="false">
      <c r="A3" s="25" t="s">
        <v>67</v>
      </c>
      <c r="B3" s="1" t="n">
        <v>7</v>
      </c>
      <c r="C3" s="1" t="n">
        <v>7.27</v>
      </c>
      <c r="D3" s="1" t="n">
        <v>0.462</v>
      </c>
      <c r="E3" s="1" t="n">
        <v>0.604</v>
      </c>
      <c r="F3" s="1" t="n">
        <v>116.1</v>
      </c>
      <c r="G3" s="1" t="n">
        <v>99.8</v>
      </c>
      <c r="H3" s="1" t="n">
        <v>15.6</v>
      </c>
      <c r="I3" s="1" t="n">
        <v>58</v>
      </c>
      <c r="J3" s="1" t="n">
        <v>0.735</v>
      </c>
      <c r="K3" s="1" t="n">
        <v>2</v>
      </c>
      <c r="L3" s="1" t="n">
        <v>5.8</v>
      </c>
      <c r="M3" s="1" t="n">
        <v>1</v>
      </c>
      <c r="N3" s="1" t="n">
        <v>11.7</v>
      </c>
      <c r="O3" s="1" t="n">
        <v>8</v>
      </c>
      <c r="P3" s="1" t="n">
        <v>0.656</v>
      </c>
      <c r="Q3" s="1" t="n">
        <v>8</v>
      </c>
      <c r="R3" s="1" t="n">
        <v>73.9</v>
      </c>
      <c r="S3" s="1" t="n">
        <v>34</v>
      </c>
      <c r="T3" s="1" t="n">
        <v>0</v>
      </c>
      <c r="U3" s="1" t="n">
        <v>36</v>
      </c>
      <c r="V3" s="1" t="n">
        <v>0</v>
      </c>
      <c r="W3" s="1" t="n">
        <v>35.2</v>
      </c>
    </row>
    <row r="4" customFormat="false" ht="14.25" hidden="false" customHeight="false" outlineLevel="0" collapsed="false">
      <c r="A4" s="25" t="s">
        <v>102</v>
      </c>
      <c r="B4" s="1" t="n">
        <v>6</v>
      </c>
      <c r="C4" s="1" t="n">
        <v>1</v>
      </c>
      <c r="D4" s="26" t="n">
        <v>0.471</v>
      </c>
      <c r="E4" s="1" t="n">
        <v>0.639</v>
      </c>
      <c r="F4" s="1" t="n">
        <v>117.1</v>
      </c>
      <c r="G4" s="1" t="n">
        <v>92.9</v>
      </c>
      <c r="H4" s="1" t="n">
        <v>25.01</v>
      </c>
      <c r="I4" s="1" t="n">
        <v>5</v>
      </c>
      <c r="J4" s="1" t="n">
        <v>0.781</v>
      </c>
      <c r="K4" s="1" t="n">
        <v>3</v>
      </c>
      <c r="L4" s="1" t="n">
        <v>8.6</v>
      </c>
      <c r="M4" s="1" t="n">
        <v>1</v>
      </c>
      <c r="N4" s="1" t="n">
        <v>13.4</v>
      </c>
      <c r="O4" s="1" t="n">
        <v>5</v>
      </c>
      <c r="P4" s="1" t="n">
        <v>0.61</v>
      </c>
      <c r="Q4" s="1" t="n">
        <v>3</v>
      </c>
      <c r="R4" s="1" t="n">
        <v>64</v>
      </c>
      <c r="S4" s="1" t="n">
        <v>32</v>
      </c>
      <c r="T4" s="1" t="n">
        <v>0</v>
      </c>
      <c r="U4" s="1" t="n">
        <v>12</v>
      </c>
      <c r="V4" s="1" t="n">
        <v>0</v>
      </c>
      <c r="W4" s="1" t="n">
        <v>38.6</v>
      </c>
    </row>
    <row r="5" customFormat="false" ht="14.25" hidden="false" customHeight="false" outlineLevel="0" collapsed="false">
      <c r="A5" s="25" t="s">
        <v>83</v>
      </c>
      <c r="B5" s="1" t="n">
        <v>0</v>
      </c>
      <c r="C5" s="1" t="n">
        <v>-8.57</v>
      </c>
      <c r="D5" s="26" t="n">
        <v>0.481</v>
      </c>
      <c r="E5" s="1" t="n">
        <v>0.564</v>
      </c>
      <c r="F5" s="1" t="n">
        <v>109.7</v>
      </c>
      <c r="G5" s="1" t="n">
        <v>100.3</v>
      </c>
      <c r="H5" s="1" t="n">
        <v>8.72</v>
      </c>
      <c r="I5" s="1" t="n">
        <v>213</v>
      </c>
      <c r="J5" s="1" t="n">
        <v>0.765</v>
      </c>
      <c r="K5" s="1" t="n">
        <v>0</v>
      </c>
      <c r="L5" s="1" t="n">
        <v>8.8</v>
      </c>
      <c r="M5" s="1" t="n">
        <v>0</v>
      </c>
      <c r="N5" s="1" t="n">
        <v>13.3</v>
      </c>
      <c r="O5" s="1" t="n">
        <v>8</v>
      </c>
      <c r="P5" s="1" t="n">
        <v>0.653</v>
      </c>
      <c r="Q5" s="1" t="n">
        <v>13</v>
      </c>
      <c r="R5" s="1" t="n">
        <v>67.9</v>
      </c>
      <c r="S5" s="1" t="n">
        <v>34</v>
      </c>
      <c r="T5" s="1" t="n">
        <v>0</v>
      </c>
      <c r="U5" s="1" t="n">
        <v>37</v>
      </c>
      <c r="V5" s="1" t="n">
        <v>0</v>
      </c>
      <c r="W5" s="1" t="n">
        <v>37.1</v>
      </c>
    </row>
    <row r="6" customFormat="false" ht="14.25" hidden="false" customHeight="false" outlineLevel="0" collapsed="false">
      <c r="A6" s="25" t="s">
        <v>68</v>
      </c>
      <c r="B6" s="1" t="n">
        <v>2</v>
      </c>
      <c r="C6" s="1" t="n">
        <v>1.35</v>
      </c>
      <c r="D6" s="1" t="n">
        <v>0.478</v>
      </c>
      <c r="E6" s="1" t="n">
        <v>0.626</v>
      </c>
      <c r="F6" s="1" t="n">
        <v>117.7</v>
      </c>
      <c r="G6" s="1" t="n">
        <v>97</v>
      </c>
      <c r="H6" s="1" t="n">
        <v>20.91</v>
      </c>
      <c r="I6" s="1" t="n">
        <v>13</v>
      </c>
      <c r="J6" s="1" t="n">
        <v>0.742</v>
      </c>
      <c r="K6" s="1" t="n">
        <v>0</v>
      </c>
      <c r="L6" s="1" t="n">
        <v>7.9</v>
      </c>
      <c r="M6" s="1" t="n">
        <v>1</v>
      </c>
      <c r="N6" s="1" t="n">
        <v>10.2</v>
      </c>
      <c r="O6" s="1" t="n">
        <v>9</v>
      </c>
      <c r="P6" s="1" t="n">
        <v>0.537</v>
      </c>
      <c r="Q6" s="1" t="n">
        <v>4</v>
      </c>
      <c r="R6" s="1" t="n">
        <v>68.9</v>
      </c>
      <c r="S6" s="1" t="n">
        <v>31</v>
      </c>
      <c r="T6" s="1" t="n">
        <v>0</v>
      </c>
      <c r="U6" s="27" t="n">
        <v>21</v>
      </c>
      <c r="V6" s="1" t="n">
        <v>0</v>
      </c>
      <c r="W6" s="1" t="n">
        <v>34.6</v>
      </c>
    </row>
    <row r="7" customFormat="false" ht="14.25" hidden="false" customHeight="false" outlineLevel="0" collapsed="false">
      <c r="A7" s="25" t="s">
        <v>34</v>
      </c>
      <c r="B7" s="1" t="n">
        <v>6</v>
      </c>
      <c r="C7" s="1" t="n">
        <v>11.5</v>
      </c>
      <c r="D7" s="1" t="n">
        <v>0.454</v>
      </c>
      <c r="E7" s="1" t="n">
        <v>0.633</v>
      </c>
      <c r="F7" s="1" t="n">
        <v>114.9</v>
      </c>
      <c r="G7" s="1" t="n">
        <v>92.8</v>
      </c>
      <c r="H7" s="1" t="n">
        <v>22.32</v>
      </c>
      <c r="I7" s="1" t="n">
        <v>66</v>
      </c>
      <c r="J7" s="1" t="n">
        <v>0.853</v>
      </c>
      <c r="K7" s="1" t="n">
        <v>1</v>
      </c>
      <c r="L7" s="1" t="n">
        <v>13.6</v>
      </c>
      <c r="M7" s="1" t="n">
        <v>1</v>
      </c>
      <c r="N7" s="1" t="n">
        <v>10</v>
      </c>
      <c r="O7" s="1" t="n">
        <v>7</v>
      </c>
      <c r="P7" s="1" t="n">
        <v>0.658</v>
      </c>
      <c r="Q7" s="1" t="n">
        <v>6</v>
      </c>
      <c r="R7" s="1" t="n">
        <v>61.3</v>
      </c>
      <c r="S7" s="1" t="n">
        <v>34</v>
      </c>
      <c r="T7" s="1" t="n">
        <v>0</v>
      </c>
      <c r="U7" s="27" t="n">
        <v>18</v>
      </c>
      <c r="V7" s="1" t="n">
        <v>0</v>
      </c>
      <c r="W7" s="1" t="n">
        <v>39.5</v>
      </c>
    </row>
    <row r="8" customFormat="false" ht="14.25" hidden="false" customHeight="false" outlineLevel="0" collapsed="false">
      <c r="A8" s="25" t="s">
        <v>22</v>
      </c>
      <c r="B8" s="1" t="n">
        <v>3</v>
      </c>
      <c r="C8" s="1" t="n">
        <v>3.24</v>
      </c>
      <c r="D8" s="1" t="n">
        <v>0.508</v>
      </c>
      <c r="E8" s="1" t="n">
        <v>0.603</v>
      </c>
      <c r="F8" s="1" t="n">
        <v>115.3</v>
      </c>
      <c r="G8" s="1" t="n">
        <v>96.5</v>
      </c>
      <c r="H8" s="1" t="n">
        <v>19.59</v>
      </c>
      <c r="I8" s="1" t="n">
        <v>50</v>
      </c>
      <c r="J8" s="1" t="n">
        <v>0.735</v>
      </c>
      <c r="K8" s="1" t="n">
        <v>0</v>
      </c>
      <c r="L8" s="1" t="n">
        <v>8.9</v>
      </c>
      <c r="M8" s="1" t="n">
        <v>1</v>
      </c>
      <c r="N8" s="1" t="n">
        <v>12.5</v>
      </c>
      <c r="O8" s="1" t="n">
        <v>5</v>
      </c>
      <c r="P8" s="1" t="n">
        <v>0.597</v>
      </c>
      <c r="Q8" s="1" t="n">
        <v>6</v>
      </c>
      <c r="R8" s="1" t="n">
        <v>72.9</v>
      </c>
      <c r="S8" s="1" t="n">
        <v>34</v>
      </c>
      <c r="T8" s="1" t="n">
        <v>0</v>
      </c>
      <c r="U8" s="27" t="n">
        <v>29</v>
      </c>
      <c r="V8" s="1" t="n">
        <v>0</v>
      </c>
      <c r="W8" s="1" t="n">
        <v>35.8</v>
      </c>
    </row>
    <row r="9" customFormat="false" ht="14.25" hidden="false" customHeight="false" outlineLevel="0" collapsed="false">
      <c r="A9" s="25" t="s">
        <v>103</v>
      </c>
      <c r="B9" s="1" t="n">
        <v>3</v>
      </c>
      <c r="C9" s="1" t="n">
        <v>6.84</v>
      </c>
      <c r="D9" s="1" t="n">
        <v>0.47</v>
      </c>
      <c r="E9" s="1" t="n">
        <v>0.601</v>
      </c>
      <c r="F9" s="1" t="n">
        <v>111.9</v>
      </c>
      <c r="G9" s="1" t="n">
        <v>96.3</v>
      </c>
      <c r="H9" s="1" t="n">
        <v>15.67</v>
      </c>
      <c r="I9" s="1" t="n">
        <v>71</v>
      </c>
      <c r="J9" s="1" t="n">
        <v>0.774</v>
      </c>
      <c r="K9" s="1" t="n">
        <v>1</v>
      </c>
      <c r="L9" s="1" t="n">
        <v>9.2</v>
      </c>
      <c r="M9" s="1" t="n">
        <v>0</v>
      </c>
      <c r="N9" s="1" t="n">
        <v>11.9</v>
      </c>
      <c r="O9" s="1" t="n">
        <v>8</v>
      </c>
      <c r="P9" s="1" t="n">
        <v>0.688</v>
      </c>
      <c r="Q9" s="1" t="n">
        <v>7</v>
      </c>
      <c r="R9" s="1" t="n">
        <v>66.7</v>
      </c>
      <c r="S9" s="1" t="n">
        <v>31</v>
      </c>
      <c r="T9" s="1" t="n">
        <v>0</v>
      </c>
      <c r="U9" s="21" t="n">
        <v>37</v>
      </c>
      <c r="V9" s="1" t="n">
        <v>0</v>
      </c>
      <c r="W9" s="1" t="n">
        <v>31.3</v>
      </c>
    </row>
    <row r="10" customFormat="false" ht="14.25" hidden="false" customHeight="false" outlineLevel="0" collapsed="false">
      <c r="A10" s="25" t="s">
        <v>86</v>
      </c>
      <c r="B10" s="1" t="n">
        <v>33</v>
      </c>
      <c r="C10" s="1" t="n">
        <v>15.89</v>
      </c>
      <c r="D10" s="1" t="n">
        <v>0.477</v>
      </c>
      <c r="E10" s="1" t="n">
        <v>0.646</v>
      </c>
      <c r="F10" s="1" t="n">
        <v>121</v>
      </c>
      <c r="G10" s="1" t="n">
        <v>96.8</v>
      </c>
      <c r="H10" s="1" t="n">
        <v>25.09</v>
      </c>
      <c r="I10" s="1" t="n">
        <v>9</v>
      </c>
      <c r="J10" s="1" t="n">
        <v>0.771</v>
      </c>
      <c r="K10" s="1" t="n">
        <v>23</v>
      </c>
      <c r="L10" s="1" t="n">
        <v>10.8</v>
      </c>
      <c r="M10" s="1" t="n">
        <v>1</v>
      </c>
      <c r="N10" s="1" t="n">
        <v>11.3</v>
      </c>
      <c r="O10" s="1" t="n">
        <v>7</v>
      </c>
      <c r="P10" s="1" t="n">
        <v>0.764</v>
      </c>
      <c r="Q10" s="1" t="n">
        <v>2</v>
      </c>
      <c r="R10" s="1" t="n">
        <v>70.2</v>
      </c>
      <c r="S10" s="1" t="n">
        <v>35</v>
      </c>
      <c r="T10" s="1" t="n">
        <v>12</v>
      </c>
      <c r="U10" s="27" t="n">
        <v>7</v>
      </c>
      <c r="V10" s="1" t="n">
        <v>1</v>
      </c>
      <c r="W10" s="1" t="n">
        <v>42</v>
      </c>
    </row>
    <row r="11" customFormat="false" ht="15" hidden="false" customHeight="false" outlineLevel="0" collapsed="false">
      <c r="A11" s="25" t="s">
        <v>104</v>
      </c>
      <c r="B11" s="1" t="n">
        <v>0</v>
      </c>
      <c r="C11" s="1" t="n">
        <v>-4.59</v>
      </c>
      <c r="D11" s="1" t="n">
        <v>0.491</v>
      </c>
      <c r="E11" s="1" t="n">
        <v>0.571</v>
      </c>
      <c r="F11" s="1" t="n">
        <v>108</v>
      </c>
      <c r="G11" s="1" t="n">
        <v>96.9</v>
      </c>
      <c r="H11" s="1" t="n">
        <v>11.49</v>
      </c>
      <c r="I11" s="1" t="n">
        <v>209</v>
      </c>
      <c r="J11" s="12" t="n">
        <v>0.794</v>
      </c>
      <c r="K11" s="1" t="n">
        <v>0</v>
      </c>
      <c r="L11" s="1" t="n">
        <v>10.2</v>
      </c>
      <c r="M11" s="1" t="n">
        <v>0</v>
      </c>
      <c r="N11" s="1" t="n">
        <v>14.8</v>
      </c>
      <c r="O11" s="1" t="n">
        <v>9</v>
      </c>
      <c r="P11" s="1" t="n">
        <v>0.718</v>
      </c>
      <c r="Q11" s="1" t="n">
        <v>13</v>
      </c>
      <c r="R11" s="1" t="n">
        <v>69.7</v>
      </c>
      <c r="S11" s="1" t="n">
        <v>34</v>
      </c>
      <c r="T11" s="1" t="n">
        <v>0</v>
      </c>
      <c r="U11" s="21" t="n">
        <v>37</v>
      </c>
      <c r="V11" s="1" t="n">
        <v>0</v>
      </c>
      <c r="W11" s="1" t="n">
        <v>37.6</v>
      </c>
    </row>
    <row r="12" customFormat="false" ht="14.25" hidden="false" customHeight="false" outlineLevel="0" collapsed="false">
      <c r="A12" s="1" t="s">
        <v>105</v>
      </c>
      <c r="B12" s="1" t="n">
        <v>1</v>
      </c>
      <c r="C12" s="1" t="n">
        <v>-1.76</v>
      </c>
      <c r="D12" s="1" t="n">
        <v>0.487</v>
      </c>
      <c r="E12" s="1" t="n">
        <v>0.543</v>
      </c>
      <c r="F12" s="1" t="n">
        <v>109.4</v>
      </c>
      <c r="G12" s="1" t="n">
        <v>104.4</v>
      </c>
      <c r="H12" s="1" t="n">
        <v>5.01</v>
      </c>
      <c r="I12" s="1" t="n">
        <v>269</v>
      </c>
      <c r="J12" s="1" t="n">
        <v>0.788</v>
      </c>
      <c r="K12" s="1" t="n">
        <v>0</v>
      </c>
      <c r="L12" s="1" t="n">
        <v>6.1</v>
      </c>
      <c r="M12" s="1" t="n">
        <v>0</v>
      </c>
      <c r="N12" s="1" t="n">
        <v>12.4</v>
      </c>
      <c r="O12" s="1" t="n">
        <v>9</v>
      </c>
      <c r="P12" s="1" t="n">
        <v>0.602</v>
      </c>
      <c r="Q12" s="1" t="n">
        <v>14</v>
      </c>
      <c r="R12" s="1" t="n">
        <v>70.9</v>
      </c>
      <c r="S12" s="1" t="n">
        <v>33</v>
      </c>
      <c r="T12" s="1" t="n">
        <v>0</v>
      </c>
      <c r="U12" s="21" t="n">
        <v>37</v>
      </c>
      <c r="V12" s="1" t="n">
        <v>0</v>
      </c>
      <c r="W12" s="1" t="n">
        <v>37.9</v>
      </c>
    </row>
    <row r="13" customFormat="false" ht="14.25" hidden="false" customHeight="false" outlineLevel="0" collapsed="false">
      <c r="A13" s="1" t="s">
        <v>62</v>
      </c>
      <c r="B13" s="1" t="n">
        <v>0</v>
      </c>
      <c r="C13" s="1" t="n">
        <v>7.56</v>
      </c>
      <c r="D13" s="1" t="n">
        <v>0.45</v>
      </c>
      <c r="E13" s="1" t="n">
        <v>0.64</v>
      </c>
      <c r="F13" s="1" t="n">
        <v>116.9</v>
      </c>
      <c r="G13" s="1" t="n">
        <v>89.5</v>
      </c>
      <c r="H13" s="1" t="n">
        <v>26.39</v>
      </c>
      <c r="I13" s="1" t="n">
        <v>8</v>
      </c>
      <c r="J13" s="1" t="n">
        <v>0.75</v>
      </c>
      <c r="K13" s="1" t="n">
        <v>0</v>
      </c>
      <c r="L13" s="1" t="n">
        <v>11.7</v>
      </c>
      <c r="M13" s="1" t="n">
        <v>1</v>
      </c>
      <c r="N13" s="1" t="n">
        <v>11.8</v>
      </c>
      <c r="O13" s="1" t="n">
        <v>7</v>
      </c>
      <c r="P13" s="1" t="n">
        <v>0.7</v>
      </c>
      <c r="Q13" s="1" t="n">
        <v>4</v>
      </c>
      <c r="R13" s="1" t="n">
        <v>66.5</v>
      </c>
      <c r="S13" s="1" t="n">
        <v>32</v>
      </c>
      <c r="T13" s="1" t="n">
        <v>0</v>
      </c>
      <c r="U13" s="27" t="n">
        <v>20</v>
      </c>
      <c r="V13" s="1" t="n">
        <v>0</v>
      </c>
      <c r="W13" s="1" t="n">
        <v>35.6</v>
      </c>
    </row>
    <row r="14" customFormat="false" ht="14.25" hidden="false" customHeight="false" outlineLevel="0" collapsed="false">
      <c r="A14" s="1" t="s">
        <v>40</v>
      </c>
      <c r="B14" s="1" t="n">
        <v>4</v>
      </c>
      <c r="C14" s="1" t="n">
        <v>7.11</v>
      </c>
      <c r="D14" s="1" t="n">
        <v>0.483</v>
      </c>
      <c r="E14" s="1" t="n">
        <v>0.631</v>
      </c>
      <c r="F14" s="1" t="n">
        <v>115.5</v>
      </c>
      <c r="G14" s="1" t="n">
        <v>95.5</v>
      </c>
      <c r="H14" s="1" t="n">
        <v>22.74</v>
      </c>
      <c r="I14" s="1" t="n">
        <v>20</v>
      </c>
      <c r="J14" s="1" t="n">
        <v>0.758</v>
      </c>
      <c r="K14" s="1" t="n">
        <v>2</v>
      </c>
      <c r="L14" s="1" t="n">
        <v>11.2</v>
      </c>
      <c r="M14" s="1" t="n">
        <v>1</v>
      </c>
      <c r="N14" s="1" t="n">
        <v>11.8</v>
      </c>
      <c r="O14" s="1" t="n">
        <v>6</v>
      </c>
      <c r="P14" s="1" t="n">
        <v>0.554</v>
      </c>
      <c r="Q14" s="1" t="n">
        <v>3</v>
      </c>
      <c r="R14" s="1" t="n">
        <v>72.1</v>
      </c>
      <c r="S14" s="1" t="n">
        <v>33</v>
      </c>
      <c r="T14" s="1" t="n">
        <v>0</v>
      </c>
      <c r="U14" s="27" t="n">
        <v>16</v>
      </c>
      <c r="V14" s="1" t="n">
        <v>0</v>
      </c>
      <c r="W14" s="1" t="n">
        <v>38.7</v>
      </c>
    </row>
    <row r="15" customFormat="false" ht="14.25" hidden="false" customHeight="false" outlineLevel="0" collapsed="false">
      <c r="A15" s="1" t="s">
        <v>43</v>
      </c>
      <c r="B15" s="1" t="n">
        <v>17</v>
      </c>
      <c r="C15" s="1" t="n">
        <v>2.37</v>
      </c>
      <c r="D15" s="1" t="n">
        <v>0.518</v>
      </c>
      <c r="E15" s="1" t="n">
        <v>0.644</v>
      </c>
      <c r="F15" s="1" t="n">
        <v>118.4</v>
      </c>
      <c r="G15" s="1" t="n">
        <v>86.3</v>
      </c>
      <c r="H15" s="1" t="n">
        <v>33.05</v>
      </c>
      <c r="I15" s="1" t="n">
        <v>102</v>
      </c>
      <c r="J15" s="1" t="n">
        <v>0.969</v>
      </c>
      <c r="K15" s="1" t="n">
        <v>6</v>
      </c>
      <c r="L15" s="1" t="n">
        <v>23.4</v>
      </c>
      <c r="M15" s="1" t="n">
        <v>0</v>
      </c>
      <c r="N15" s="1" t="n">
        <v>11.3</v>
      </c>
      <c r="O15" s="1" t="n">
        <v>9</v>
      </c>
      <c r="P15" s="1" t="n">
        <v>0.817</v>
      </c>
      <c r="Q15" s="1" t="n">
        <v>1</v>
      </c>
      <c r="R15" s="1" t="n">
        <v>61.5</v>
      </c>
      <c r="S15" s="1" t="n">
        <v>33</v>
      </c>
      <c r="T15" s="1" t="n">
        <v>1</v>
      </c>
      <c r="U15" s="27" t="n">
        <v>2</v>
      </c>
      <c r="V15" s="1" t="n">
        <v>0</v>
      </c>
      <c r="W15" s="1" t="n">
        <v>40.1</v>
      </c>
    </row>
    <row r="16" customFormat="false" ht="15" hidden="false" customHeight="false" outlineLevel="0" collapsed="false">
      <c r="A16" s="1" t="s">
        <v>87</v>
      </c>
      <c r="B16" s="1" t="n">
        <v>3</v>
      </c>
      <c r="C16" s="1" t="n">
        <v>-4.17</v>
      </c>
      <c r="D16" s="1" t="n">
        <v>0.455</v>
      </c>
      <c r="E16" s="1" t="n">
        <v>0.541</v>
      </c>
      <c r="F16" s="1" t="n">
        <v>110.8</v>
      </c>
      <c r="G16" s="1" t="n">
        <v>106.6</v>
      </c>
      <c r="H16" s="1" t="n">
        <v>4</v>
      </c>
      <c r="I16" s="1" t="n">
        <v>174</v>
      </c>
      <c r="J16" s="12" t="n">
        <v>0.647</v>
      </c>
      <c r="K16" s="1" t="n">
        <v>0</v>
      </c>
      <c r="L16" s="1" t="n">
        <v>4.1</v>
      </c>
      <c r="M16" s="1" t="n">
        <v>0</v>
      </c>
      <c r="N16" s="1" t="n">
        <v>12.1</v>
      </c>
      <c r="O16" s="1" t="n">
        <v>6</v>
      </c>
      <c r="P16" s="1" t="n">
        <v>0.675</v>
      </c>
      <c r="Q16" s="1" t="n">
        <v>14</v>
      </c>
      <c r="R16" s="1" t="n">
        <v>76.8</v>
      </c>
      <c r="S16" s="1" t="n">
        <v>34</v>
      </c>
      <c r="T16" s="1" t="n">
        <v>0</v>
      </c>
      <c r="U16" s="21" t="n">
        <v>37</v>
      </c>
      <c r="V16" s="1" t="n">
        <v>0</v>
      </c>
      <c r="W16" s="1" t="n">
        <v>34.4</v>
      </c>
    </row>
    <row r="17" customFormat="false" ht="15" hidden="false" customHeight="false" outlineLevel="0" collapsed="false">
      <c r="A17" s="1" t="s">
        <v>106</v>
      </c>
      <c r="B17" s="1" t="n">
        <v>2</v>
      </c>
      <c r="C17" s="1" t="n">
        <v>6.61</v>
      </c>
      <c r="D17" s="1" t="n">
        <v>0.469</v>
      </c>
      <c r="E17" s="1" t="n">
        <v>0.611</v>
      </c>
      <c r="F17" s="1" t="n">
        <v>119.7</v>
      </c>
      <c r="G17" s="1" t="n">
        <v>96.3</v>
      </c>
      <c r="H17" s="1" t="n">
        <v>23.11</v>
      </c>
      <c r="I17" s="1" t="n">
        <v>28</v>
      </c>
      <c r="J17" s="12" t="n">
        <v>0.697</v>
      </c>
      <c r="K17" s="1" t="n">
        <v>1</v>
      </c>
      <c r="L17" s="1" t="n">
        <v>8.9</v>
      </c>
      <c r="M17" s="1" t="n">
        <v>1</v>
      </c>
      <c r="N17" s="1" t="n">
        <v>10.2</v>
      </c>
      <c r="O17" s="1" t="n">
        <v>9</v>
      </c>
      <c r="P17" s="1" t="n">
        <v>0.744</v>
      </c>
      <c r="Q17" s="1" t="n">
        <v>5</v>
      </c>
      <c r="R17" s="1" t="n">
        <v>72.3</v>
      </c>
      <c r="S17" s="1" t="n">
        <v>33</v>
      </c>
      <c r="T17" s="1" t="n">
        <v>0</v>
      </c>
      <c r="U17" s="27" t="n">
        <v>17</v>
      </c>
      <c r="V17" s="1" t="n">
        <v>1</v>
      </c>
      <c r="W17" s="1" t="n">
        <v>37</v>
      </c>
    </row>
    <row r="18" customFormat="false" ht="14.25" hidden="false" customHeight="false" outlineLevel="0" collapsed="false">
      <c r="A18" s="1" t="s">
        <v>107</v>
      </c>
      <c r="B18" s="1" t="n">
        <v>2</v>
      </c>
      <c r="C18" s="1" t="n">
        <v>-10.33</v>
      </c>
      <c r="D18" s="1" t="n">
        <v>0.457</v>
      </c>
      <c r="E18" s="1" t="n">
        <v>0.509</v>
      </c>
      <c r="F18" s="1" t="n">
        <v>105.8</v>
      </c>
      <c r="G18" s="1" t="n">
        <v>105.2</v>
      </c>
      <c r="H18" s="1" t="n">
        <v>0.58</v>
      </c>
      <c r="I18" s="1" t="n">
        <v>244</v>
      </c>
      <c r="J18" s="1" t="n">
        <v>0.588</v>
      </c>
      <c r="K18" s="1" t="n">
        <v>0</v>
      </c>
      <c r="L18" s="1" t="n">
        <v>-3.9</v>
      </c>
      <c r="M18" s="1" t="n">
        <v>0</v>
      </c>
      <c r="N18" s="1" t="n">
        <v>13.6</v>
      </c>
      <c r="O18" s="1" t="n">
        <v>7</v>
      </c>
      <c r="P18" s="1" t="n">
        <v>0.58</v>
      </c>
      <c r="Q18" s="1" t="n">
        <v>15</v>
      </c>
      <c r="R18" s="25" t="n">
        <v>67.9</v>
      </c>
      <c r="S18" s="1" t="n">
        <v>34</v>
      </c>
      <c r="T18" s="1" t="n">
        <v>0</v>
      </c>
      <c r="U18" s="27" t="n">
        <v>37</v>
      </c>
      <c r="V18" s="1" t="n">
        <v>0</v>
      </c>
      <c r="W18" s="1" t="n">
        <v>37.3</v>
      </c>
    </row>
    <row r="19" customFormat="false" ht="14.25" hidden="false" customHeight="false" outlineLevel="0" collapsed="false">
      <c r="A19" s="1" t="s">
        <v>71</v>
      </c>
      <c r="B19" s="1" t="n">
        <v>18</v>
      </c>
      <c r="C19" s="1" t="n">
        <v>15.48</v>
      </c>
      <c r="D19" s="1" t="n">
        <v>0.487</v>
      </c>
      <c r="E19" s="1" t="n">
        <v>0.653</v>
      </c>
      <c r="F19" s="1" t="n">
        <v>121.9</v>
      </c>
      <c r="G19" s="1" t="n">
        <v>94.5</v>
      </c>
      <c r="H19" s="1" t="n">
        <v>25.98</v>
      </c>
      <c r="I19" s="1" t="n">
        <v>35</v>
      </c>
      <c r="J19" s="1" t="n">
        <f aca="false">28/32</f>
        <v>0.875</v>
      </c>
      <c r="K19" s="1" t="n">
        <v>11</v>
      </c>
      <c r="L19" s="1" t="n">
        <v>10.3</v>
      </c>
      <c r="M19" s="1" t="n">
        <v>1</v>
      </c>
      <c r="N19" s="1" t="n">
        <v>13.1</v>
      </c>
      <c r="O19" s="1" t="n">
        <v>8</v>
      </c>
      <c r="P19" s="1" t="n">
        <v>0.763</v>
      </c>
      <c r="Q19" s="1" t="n">
        <v>1</v>
      </c>
      <c r="R19" s="1" t="n">
        <v>71.9</v>
      </c>
      <c r="S19" s="1" t="n">
        <v>32</v>
      </c>
      <c r="T19" s="1" t="n">
        <v>2</v>
      </c>
      <c r="U19" s="1" t="n">
        <v>3</v>
      </c>
      <c r="V19" s="1" t="n">
        <v>0</v>
      </c>
      <c r="W19" s="1" t="n">
        <v>35.6</v>
      </c>
    </row>
    <row r="20" customFormat="false" ht="14.25" hidden="false" customHeight="false" outlineLevel="0" collapsed="false">
      <c r="A20" s="1" t="s">
        <v>23</v>
      </c>
      <c r="B20" s="1" t="n">
        <v>10</v>
      </c>
      <c r="C20" s="1" t="n">
        <v>10.27</v>
      </c>
      <c r="D20" s="1" t="n">
        <v>0.458</v>
      </c>
      <c r="E20" s="1" t="n">
        <v>0.57</v>
      </c>
      <c r="F20" s="1" t="n">
        <v>113</v>
      </c>
      <c r="G20" s="1" t="n">
        <v>95.6</v>
      </c>
      <c r="H20" s="1" t="n">
        <v>17.55</v>
      </c>
      <c r="I20" s="1" t="n">
        <v>43</v>
      </c>
      <c r="J20" s="1" t="n">
        <v>0.606</v>
      </c>
      <c r="K20" s="1" t="n">
        <v>3</v>
      </c>
      <c r="L20" s="1" t="n">
        <v>4.8</v>
      </c>
      <c r="M20" s="1" t="n">
        <v>1</v>
      </c>
      <c r="N20" s="1" t="n">
        <v>13.1</v>
      </c>
      <c r="O20" s="1" t="n">
        <v>4</v>
      </c>
      <c r="P20" s="1" t="n">
        <v>0.649</v>
      </c>
      <c r="Q20" s="1" t="n">
        <v>11</v>
      </c>
      <c r="R20" s="1" t="n">
        <v>67.8</v>
      </c>
      <c r="S20" s="1" t="n">
        <v>33</v>
      </c>
      <c r="T20" s="1" t="n">
        <v>1</v>
      </c>
      <c r="U20" s="1" t="n">
        <v>37</v>
      </c>
      <c r="V20" s="1" t="n">
        <v>0</v>
      </c>
      <c r="W20" s="1" t="n">
        <v>30.3</v>
      </c>
    </row>
    <row r="21" customFormat="false" ht="14.25" hidden="false" customHeight="false" outlineLevel="0" collapsed="false">
      <c r="A21" s="1" t="s">
        <v>108</v>
      </c>
      <c r="B21" s="1" t="n">
        <v>0</v>
      </c>
      <c r="C21" s="1" t="n">
        <v>-2.17</v>
      </c>
      <c r="D21" s="1" t="n">
        <v>0.426</v>
      </c>
      <c r="E21" s="1" t="n">
        <v>0.515</v>
      </c>
      <c r="F21" s="1" t="n">
        <v>104.9</v>
      </c>
      <c r="G21" s="1" t="n">
        <v>103.3</v>
      </c>
      <c r="H21" s="1" t="n">
        <v>1.73</v>
      </c>
      <c r="I21" s="1" t="n">
        <v>224</v>
      </c>
      <c r="J21" s="1" t="n">
        <v>0.629</v>
      </c>
      <c r="K21" s="1" t="n">
        <v>0</v>
      </c>
      <c r="L21" s="1" t="n">
        <v>3.1</v>
      </c>
      <c r="M21" s="1" t="n">
        <v>0</v>
      </c>
      <c r="N21" s="1" t="n">
        <v>13.1</v>
      </c>
      <c r="O21" s="1" t="n">
        <v>9</v>
      </c>
      <c r="P21" s="1" t="n">
        <v>0.601</v>
      </c>
      <c r="Q21" s="1" t="n">
        <v>14</v>
      </c>
      <c r="R21" s="1" t="n">
        <v>73.5</v>
      </c>
      <c r="S21" s="1" t="n">
        <v>35</v>
      </c>
      <c r="T21" s="1" t="n">
        <v>0</v>
      </c>
      <c r="U21" s="1" t="n">
        <v>37</v>
      </c>
      <c r="V21" s="1" t="n">
        <v>0</v>
      </c>
      <c r="W21" s="1" t="n">
        <v>34.7</v>
      </c>
    </row>
    <row r="22" customFormat="false" ht="14.25" hidden="false" customHeight="false" outlineLevel="0" collapsed="false">
      <c r="A22" s="1" t="s">
        <v>24</v>
      </c>
      <c r="B22" s="1" t="n">
        <v>17</v>
      </c>
      <c r="C22" s="1" t="n">
        <v>-4.54</v>
      </c>
      <c r="D22" s="1" t="n">
        <v>0.477</v>
      </c>
      <c r="E22" s="1" t="n">
        <v>0.648</v>
      </c>
      <c r="F22" s="1" t="n">
        <v>119.1</v>
      </c>
      <c r="G22" s="1" t="n">
        <v>91.4</v>
      </c>
      <c r="H22" s="1" t="n">
        <v>27.27</v>
      </c>
      <c r="I22" s="1" t="n">
        <v>23</v>
      </c>
      <c r="J22" s="1" t="n">
        <v>0.853</v>
      </c>
      <c r="K22" s="1" t="n">
        <v>12</v>
      </c>
      <c r="L22" s="1" t="n">
        <v>14.4</v>
      </c>
      <c r="M22" s="1" t="n">
        <v>1</v>
      </c>
      <c r="N22" s="1" t="n">
        <v>12</v>
      </c>
      <c r="O22" s="1" t="n">
        <v>10</v>
      </c>
      <c r="P22" s="1" t="n">
        <v>0.782</v>
      </c>
      <c r="Q22" s="1" t="n">
        <v>2</v>
      </c>
      <c r="R22" s="1" t="n">
        <v>71.5</v>
      </c>
      <c r="S22" s="1" t="n">
        <v>34</v>
      </c>
      <c r="T22" s="1" t="n">
        <v>6</v>
      </c>
      <c r="U22" s="1" t="n">
        <v>5</v>
      </c>
      <c r="V22" s="1" t="n">
        <v>1</v>
      </c>
      <c r="W22" s="1" t="n">
        <v>39.4</v>
      </c>
    </row>
    <row r="23" customFormat="false" ht="14.25" hidden="false" customHeight="false" outlineLevel="0" collapsed="false">
      <c r="A23" s="25" t="s">
        <v>109</v>
      </c>
      <c r="B23" s="1" t="n">
        <v>20</v>
      </c>
      <c r="C23" s="1" t="n">
        <v>13.41</v>
      </c>
      <c r="D23" s="1" t="n">
        <v>0.456</v>
      </c>
      <c r="E23" s="1" t="n">
        <v>0.645</v>
      </c>
      <c r="F23" s="1" t="n">
        <v>117.2</v>
      </c>
      <c r="G23" s="1" t="n">
        <v>91.7</v>
      </c>
      <c r="H23" s="1" t="n">
        <v>26.27</v>
      </c>
      <c r="I23" s="1" t="n">
        <v>2</v>
      </c>
      <c r="J23" s="1" t="n">
        <v>0.75</v>
      </c>
      <c r="K23" s="1" t="n">
        <v>13</v>
      </c>
      <c r="L23" s="1" t="n">
        <v>11.7</v>
      </c>
      <c r="M23" s="1" t="n">
        <v>1</v>
      </c>
      <c r="N23" s="1" t="n">
        <v>11.2</v>
      </c>
      <c r="O23" s="1" t="n">
        <v>6</v>
      </c>
      <c r="P23" s="1" t="n">
        <v>0.74</v>
      </c>
      <c r="Q23" s="1" t="n">
        <v>2</v>
      </c>
      <c r="R23" s="1" t="n">
        <v>66</v>
      </c>
      <c r="S23" s="1" t="n">
        <v>32</v>
      </c>
      <c r="T23" s="1" t="n">
        <v>7</v>
      </c>
      <c r="U23" s="1" t="n">
        <v>10</v>
      </c>
      <c r="V23" s="1" t="n">
        <v>0</v>
      </c>
      <c r="W23" s="1" t="n">
        <v>37.5</v>
      </c>
    </row>
    <row r="24" customFormat="false" ht="14.25" hidden="false" customHeight="false" outlineLevel="0" collapsed="false">
      <c r="A24" s="25" t="s">
        <v>110</v>
      </c>
      <c r="B24" s="1" t="n">
        <v>0</v>
      </c>
      <c r="C24" s="1" t="n">
        <v>8.79</v>
      </c>
      <c r="D24" s="1" t="n">
        <v>0.487</v>
      </c>
      <c r="E24" s="1" t="n">
        <v>0.566</v>
      </c>
      <c r="F24" s="1" t="n">
        <v>120.8</v>
      </c>
      <c r="G24" s="1" t="n">
        <v>104.2</v>
      </c>
      <c r="H24" s="1" t="n">
        <v>17.57</v>
      </c>
      <c r="I24" s="1" t="n">
        <v>59</v>
      </c>
      <c r="J24" s="1" t="n">
        <v>0.613</v>
      </c>
      <c r="K24" s="1" t="n">
        <v>0</v>
      </c>
      <c r="L24" s="1" t="n">
        <v>7.5</v>
      </c>
      <c r="M24" s="1" t="n">
        <v>1</v>
      </c>
      <c r="N24" s="1" t="n">
        <v>12.2</v>
      </c>
      <c r="O24" s="1" t="n">
        <v>5</v>
      </c>
      <c r="P24" s="1" t="n">
        <v>0.536</v>
      </c>
      <c r="Q24" s="1" t="n">
        <v>10</v>
      </c>
      <c r="R24" s="1" t="n">
        <v>75.6</v>
      </c>
      <c r="S24" s="1" t="n">
        <v>31</v>
      </c>
      <c r="T24" s="1" t="n">
        <v>0</v>
      </c>
      <c r="U24" s="1" t="n">
        <v>37</v>
      </c>
      <c r="V24" s="1" t="n">
        <v>0</v>
      </c>
      <c r="W24" s="1" t="n">
        <v>32.2</v>
      </c>
    </row>
    <row r="25" customFormat="false" ht="14.25" hidden="false" customHeight="false" outlineLevel="0" collapsed="false">
      <c r="A25" s="1" t="s">
        <v>111</v>
      </c>
      <c r="B25" s="1" t="n">
        <v>7</v>
      </c>
      <c r="C25" s="1" t="n">
        <v>9.81</v>
      </c>
      <c r="D25" s="1" t="n">
        <v>0.451</v>
      </c>
      <c r="E25" s="1" t="n">
        <v>0.597</v>
      </c>
      <c r="F25" s="1" t="n">
        <v>113.1</v>
      </c>
      <c r="G25" s="1" t="n">
        <v>98.7</v>
      </c>
      <c r="H25" s="1" t="n">
        <v>14.83</v>
      </c>
      <c r="I25" s="1" t="n">
        <v>54</v>
      </c>
      <c r="J25" s="1" t="n">
        <v>0.75</v>
      </c>
      <c r="K25" s="1" t="n">
        <v>2</v>
      </c>
      <c r="L25" s="1" t="n">
        <v>5</v>
      </c>
      <c r="M25" s="1" t="n">
        <v>1</v>
      </c>
      <c r="N25" s="1" t="n">
        <v>13</v>
      </c>
      <c r="O25" s="1" t="n">
        <v>4</v>
      </c>
      <c r="P25" s="1" t="n">
        <v>0.631</v>
      </c>
      <c r="Q25" s="1" t="n">
        <v>6</v>
      </c>
      <c r="R25" s="1" t="n">
        <v>68.8</v>
      </c>
      <c r="S25" s="1" t="n">
        <v>32</v>
      </c>
      <c r="T25" s="1" t="n">
        <v>0</v>
      </c>
      <c r="U25" s="1" t="n">
        <v>37</v>
      </c>
      <c r="V25" s="1" t="n">
        <v>0</v>
      </c>
      <c r="W25" s="1" t="n">
        <v>36</v>
      </c>
    </row>
    <row r="26" customFormat="false" ht="14.25" hidden="false" customHeight="false" outlineLevel="0" collapsed="false">
      <c r="A26" s="25" t="s">
        <v>112</v>
      </c>
      <c r="B26" s="1" t="n">
        <v>7</v>
      </c>
      <c r="C26" s="1" t="n">
        <v>2.89</v>
      </c>
      <c r="D26" s="1" t="n">
        <v>0.453</v>
      </c>
      <c r="E26" s="1" t="n">
        <v>0.587</v>
      </c>
      <c r="F26" s="1" t="n">
        <v>109.9</v>
      </c>
      <c r="G26" s="1" t="n">
        <v>94.9</v>
      </c>
      <c r="H26" s="1" t="n">
        <v>16.96</v>
      </c>
      <c r="I26" s="1" t="n">
        <v>41</v>
      </c>
      <c r="J26" s="1" t="n">
        <v>0.656</v>
      </c>
      <c r="K26" s="1" t="n">
        <v>3</v>
      </c>
      <c r="L26" s="1" t="n">
        <v>5.7</v>
      </c>
      <c r="M26" s="1" t="n">
        <v>1</v>
      </c>
      <c r="N26" s="1" t="n">
        <v>12.7</v>
      </c>
      <c r="O26" s="1" t="n">
        <v>6</v>
      </c>
      <c r="P26" s="1" t="n">
        <v>0.606</v>
      </c>
      <c r="Q26" s="1" t="n">
        <v>8</v>
      </c>
      <c r="R26" s="1" t="n">
        <v>64.1</v>
      </c>
      <c r="S26" s="1" t="n">
        <v>32</v>
      </c>
      <c r="T26" s="1" t="n">
        <v>1</v>
      </c>
      <c r="U26" s="1" t="n">
        <v>37</v>
      </c>
      <c r="V26" s="1" t="n">
        <v>0</v>
      </c>
      <c r="W26" s="1" t="n">
        <v>35.1</v>
      </c>
    </row>
    <row r="27" customFormat="false" ht="14.25" hidden="false" customHeight="false" outlineLevel="0" collapsed="false">
      <c r="A27" s="1" t="s">
        <v>47</v>
      </c>
      <c r="B27" s="1" t="n">
        <v>10</v>
      </c>
      <c r="C27" s="1" t="n">
        <v>10.42</v>
      </c>
      <c r="D27" s="1" t="n">
        <v>0.483</v>
      </c>
      <c r="E27" s="1" t="n">
        <v>0.599</v>
      </c>
      <c r="F27" s="1" t="n">
        <v>122.3</v>
      </c>
      <c r="G27" s="1" t="n">
        <v>99.2</v>
      </c>
      <c r="H27" s="1" t="n">
        <v>22.62</v>
      </c>
      <c r="I27" s="1" t="n">
        <v>26</v>
      </c>
      <c r="J27" s="1" t="n">
        <v>0.686</v>
      </c>
      <c r="K27" s="1" t="n">
        <v>4</v>
      </c>
      <c r="L27" s="1" t="n">
        <v>9.3</v>
      </c>
      <c r="M27" s="1" t="n">
        <v>1</v>
      </c>
      <c r="N27" s="1" t="n">
        <v>9.4</v>
      </c>
      <c r="O27" s="1" t="n">
        <v>8</v>
      </c>
      <c r="P27" s="1" t="n">
        <v>0.621</v>
      </c>
      <c r="Q27" s="1" t="n">
        <v>7</v>
      </c>
      <c r="R27" s="1" t="n">
        <v>66.4</v>
      </c>
      <c r="S27" s="1" t="n">
        <v>35</v>
      </c>
      <c r="T27" s="1" t="n">
        <v>1</v>
      </c>
      <c r="U27" s="1" t="n">
        <v>23</v>
      </c>
      <c r="V27" s="1" t="n">
        <v>1</v>
      </c>
      <c r="W27" s="1" t="n">
        <v>33</v>
      </c>
    </row>
    <row r="28" customFormat="false" ht="14.25" hidden="false" customHeight="false" outlineLevel="0" collapsed="false">
      <c r="A28" s="1" t="s">
        <v>113</v>
      </c>
      <c r="B28" s="1" t="n">
        <v>19</v>
      </c>
      <c r="C28" s="1" t="n">
        <v>11.21</v>
      </c>
      <c r="D28" s="1" t="n">
        <v>0.468</v>
      </c>
      <c r="E28" s="1" t="n">
        <v>0.578</v>
      </c>
      <c r="F28" s="1" t="n">
        <v>111.4</v>
      </c>
      <c r="G28" s="1" t="n">
        <v>95.9</v>
      </c>
      <c r="H28" s="1" t="n">
        <v>14.98</v>
      </c>
      <c r="I28" s="1" t="n">
        <v>10</v>
      </c>
      <c r="J28" s="1" t="n">
        <v>0.576</v>
      </c>
      <c r="K28" s="1" t="n">
        <v>13</v>
      </c>
      <c r="L28" s="1" t="n">
        <v>3.4</v>
      </c>
      <c r="M28" s="1" t="n">
        <v>1</v>
      </c>
      <c r="N28" s="1" t="n">
        <v>14.2</v>
      </c>
      <c r="O28" s="1" t="n">
        <v>5</v>
      </c>
      <c r="P28" s="1" t="n">
        <v>0.712</v>
      </c>
      <c r="Q28" s="1" t="n">
        <v>9</v>
      </c>
      <c r="R28" s="1" t="n">
        <v>68.7</v>
      </c>
      <c r="S28" s="1" t="n">
        <v>33</v>
      </c>
      <c r="T28" s="1" t="n">
        <v>7</v>
      </c>
      <c r="U28" s="1" t="n">
        <v>37</v>
      </c>
      <c r="V28" s="1" t="n">
        <v>0</v>
      </c>
      <c r="W28" s="1" t="n">
        <v>41.1</v>
      </c>
    </row>
    <row r="29" customFormat="false" ht="14.25" hidden="false" customHeight="false" outlineLevel="0" collapsed="false">
      <c r="A29" s="1" t="s">
        <v>114</v>
      </c>
      <c r="B29" s="1" t="n">
        <v>0</v>
      </c>
      <c r="C29" s="1" t="n">
        <v>9.68</v>
      </c>
      <c r="D29" s="1" t="n">
        <v>0.435</v>
      </c>
      <c r="E29" s="1" t="n">
        <v>0.612</v>
      </c>
      <c r="F29" s="1" t="n">
        <v>109.7</v>
      </c>
      <c r="G29" s="1" t="n">
        <v>93.7</v>
      </c>
      <c r="H29" s="1" t="n">
        <v>16.59</v>
      </c>
      <c r="I29" s="1" t="n">
        <v>17</v>
      </c>
      <c r="J29" s="1" t="n">
        <v>0.727</v>
      </c>
      <c r="K29" s="1" t="n">
        <v>0</v>
      </c>
      <c r="L29" s="1" t="n">
        <v>6.2</v>
      </c>
      <c r="M29" s="1" t="n">
        <v>1</v>
      </c>
      <c r="N29" s="1" t="n">
        <v>11.7</v>
      </c>
      <c r="O29" s="1" t="n">
        <v>8</v>
      </c>
      <c r="P29" s="1" t="n">
        <v>0.554</v>
      </c>
      <c r="Q29" s="1" t="n">
        <v>5</v>
      </c>
      <c r="R29" s="1" t="n">
        <v>69.4</v>
      </c>
      <c r="S29" s="1" t="n">
        <v>33</v>
      </c>
      <c r="T29" s="1" t="n">
        <v>0</v>
      </c>
      <c r="U29" s="1" t="n">
        <v>27</v>
      </c>
      <c r="V29" s="1" t="n">
        <v>0</v>
      </c>
      <c r="W29" s="1" t="n">
        <v>38.8</v>
      </c>
    </row>
    <row r="30" customFormat="false" ht="14.25" hidden="false" customHeight="false" outlineLevel="0" collapsed="false">
      <c r="A30" s="1" t="s">
        <v>115</v>
      </c>
      <c r="B30" s="1" t="n">
        <v>1</v>
      </c>
      <c r="C30" s="1" t="n">
        <v>-9.1</v>
      </c>
      <c r="D30" s="1" t="n">
        <v>0.444</v>
      </c>
      <c r="E30" s="1" t="n">
        <v>0.509</v>
      </c>
      <c r="F30" s="1" t="n">
        <v>99.5</v>
      </c>
      <c r="G30" s="1" t="n">
        <v>103.4</v>
      </c>
      <c r="H30" s="1" t="n">
        <v>-4.23</v>
      </c>
      <c r="I30" s="1" t="n">
        <v>205</v>
      </c>
      <c r="J30" s="1" t="n">
        <v>0.559</v>
      </c>
      <c r="K30" s="1" t="n">
        <v>0</v>
      </c>
      <c r="L30" s="1" t="n">
        <v>-0.3</v>
      </c>
      <c r="M30" s="1" t="n">
        <v>0</v>
      </c>
      <c r="N30" s="1" t="n">
        <v>13.1</v>
      </c>
      <c r="O30" s="1" t="n">
        <v>7</v>
      </c>
      <c r="P30" s="1" t="n">
        <v>0.506</v>
      </c>
      <c r="Q30" s="1" t="n">
        <v>16</v>
      </c>
      <c r="R30" s="1" t="n">
        <v>68.7</v>
      </c>
      <c r="S30" s="1" t="n">
        <v>34</v>
      </c>
      <c r="T30" s="1" t="n">
        <v>0</v>
      </c>
      <c r="U30" s="1" t="n">
        <v>37</v>
      </c>
      <c r="V30" s="1" t="n">
        <v>0</v>
      </c>
      <c r="W30" s="1" t="n">
        <v>28.1</v>
      </c>
    </row>
    <row r="31" customFormat="false" ht="14.25" hidden="false" customHeight="false" outlineLevel="0" collapsed="false">
      <c r="A31" s="1" t="s">
        <v>116</v>
      </c>
      <c r="B31" s="1" t="n">
        <v>4</v>
      </c>
      <c r="C31" s="1" t="n">
        <v>-4.08</v>
      </c>
      <c r="D31" s="1" t="n">
        <v>0.487</v>
      </c>
      <c r="E31" s="1" t="n">
        <v>0.596</v>
      </c>
      <c r="F31" s="1" t="n">
        <v>112.2</v>
      </c>
      <c r="G31" s="1" t="n">
        <v>97.2</v>
      </c>
      <c r="H31" s="1" t="n">
        <v>14.65</v>
      </c>
      <c r="I31" s="1" t="n">
        <v>167</v>
      </c>
      <c r="J31" s="1" t="n">
        <v>0.882</v>
      </c>
      <c r="K31" s="1" t="n">
        <v>0</v>
      </c>
      <c r="L31" s="1" t="n">
        <v>10.9</v>
      </c>
      <c r="M31" s="1" t="n">
        <v>0</v>
      </c>
      <c r="N31" s="1" t="n">
        <v>10.4</v>
      </c>
      <c r="O31" s="1" t="n">
        <v>10</v>
      </c>
      <c r="P31" s="1" t="n">
        <v>0.622</v>
      </c>
      <c r="Q31" s="25" t="n">
        <v>12</v>
      </c>
      <c r="R31" s="1" t="n">
        <v>63.9</v>
      </c>
      <c r="S31" s="1" t="n">
        <v>34</v>
      </c>
      <c r="T31" s="1" t="n">
        <v>0</v>
      </c>
      <c r="U31" s="1" t="n">
        <v>26</v>
      </c>
      <c r="V31" s="1" t="n">
        <v>0</v>
      </c>
      <c r="W31" s="1" t="n">
        <v>36.4</v>
      </c>
    </row>
    <row r="32" customFormat="false" ht="14.25" hidden="false" customHeight="false" outlineLevel="0" collapsed="false">
      <c r="A32" s="1" t="s">
        <v>117</v>
      </c>
      <c r="B32" s="1" t="n">
        <v>0</v>
      </c>
      <c r="C32" s="1" t="n">
        <v>-6.5</v>
      </c>
      <c r="D32" s="1" t="n">
        <v>0.459</v>
      </c>
      <c r="E32" s="1" t="n">
        <v>0.543</v>
      </c>
      <c r="F32" s="1" t="n">
        <v>106.8</v>
      </c>
      <c r="G32" s="1" t="n">
        <v>104.9</v>
      </c>
      <c r="H32" s="1" t="n">
        <v>1.34</v>
      </c>
      <c r="I32" s="1" t="n">
        <v>225</v>
      </c>
      <c r="J32" s="1" t="n">
        <v>0.706</v>
      </c>
      <c r="K32" s="1" t="n">
        <v>0</v>
      </c>
      <c r="L32" s="1" t="n">
        <v>3</v>
      </c>
      <c r="M32" s="1" t="n">
        <v>0</v>
      </c>
      <c r="N32" s="1" t="n">
        <v>13.5</v>
      </c>
      <c r="O32" s="1" t="n">
        <v>9</v>
      </c>
      <c r="P32" s="1" t="n">
        <v>0.507</v>
      </c>
      <c r="Q32" s="25" t="n">
        <v>15</v>
      </c>
      <c r="R32" s="1" t="n">
        <v>72.1</v>
      </c>
      <c r="S32" s="1" t="n">
        <v>34</v>
      </c>
      <c r="T32" s="1" t="n">
        <v>0</v>
      </c>
      <c r="U32" s="1" t="n">
        <v>37</v>
      </c>
      <c r="V32" s="1" t="n">
        <v>0</v>
      </c>
      <c r="W32" s="1" t="n">
        <v>35.5</v>
      </c>
    </row>
    <row r="33" customFormat="false" ht="14.25" hidden="false" customHeight="false" outlineLevel="0" collapsed="false">
      <c r="A33" s="1" t="s">
        <v>37</v>
      </c>
      <c r="B33" s="1" t="n">
        <v>1</v>
      </c>
      <c r="C33" s="1" t="n">
        <v>-4.63</v>
      </c>
      <c r="D33" s="1" t="n">
        <v>0.454</v>
      </c>
      <c r="E33" s="1" t="n">
        <v>0.4825</v>
      </c>
      <c r="F33" s="1" t="n">
        <v>102.2</v>
      </c>
      <c r="G33" s="1" t="n">
        <v>101.9</v>
      </c>
      <c r="H33" s="1" t="n">
        <v>1.03</v>
      </c>
      <c r="I33" s="1" t="n">
        <v>351</v>
      </c>
      <c r="J33" s="1" t="n">
        <v>0.758</v>
      </c>
      <c r="K33" s="1" t="n">
        <v>0</v>
      </c>
      <c r="L33" s="1" t="n">
        <v>9.4</v>
      </c>
      <c r="M33" s="1" t="n">
        <v>0</v>
      </c>
      <c r="N33" s="1" t="n">
        <v>12</v>
      </c>
      <c r="O33" s="1" t="n">
        <v>8</v>
      </c>
      <c r="P33" s="1" t="n">
        <v>0.596</v>
      </c>
      <c r="Q33" s="25" t="n">
        <v>16</v>
      </c>
      <c r="R33" s="1" t="n">
        <v>64</v>
      </c>
      <c r="S33" s="1" t="n">
        <v>33</v>
      </c>
      <c r="T33" s="1" t="n">
        <v>0</v>
      </c>
      <c r="U33" s="1" t="n">
        <v>37</v>
      </c>
      <c r="V33" s="1" t="n">
        <v>0</v>
      </c>
      <c r="W33" s="1" t="n">
        <v>36</v>
      </c>
    </row>
    <row r="34" customFormat="false" ht="14.25" hidden="false" customHeight="false" outlineLevel="0" collapsed="false">
      <c r="A34" s="1" t="s">
        <v>32</v>
      </c>
      <c r="B34" s="1" t="n">
        <v>0</v>
      </c>
      <c r="C34" s="1" t="n">
        <v>-0.39</v>
      </c>
      <c r="D34" s="1" t="n">
        <v>0.45</v>
      </c>
      <c r="E34" s="1" t="n">
        <v>0.601</v>
      </c>
      <c r="F34" s="1" t="n">
        <v>114.6</v>
      </c>
      <c r="G34" s="1" t="n">
        <v>101.3</v>
      </c>
      <c r="H34" s="1" t="n">
        <v>13.34</v>
      </c>
      <c r="I34" s="1" t="n">
        <v>144</v>
      </c>
      <c r="J34" s="1" t="n">
        <v>0.824</v>
      </c>
      <c r="K34" s="1" t="n">
        <v>0</v>
      </c>
      <c r="L34" s="1" t="n">
        <v>9</v>
      </c>
      <c r="M34" s="1" t="n">
        <v>0</v>
      </c>
      <c r="N34" s="1" t="n">
        <v>11.1</v>
      </c>
      <c r="O34" s="1" t="n">
        <v>9</v>
      </c>
      <c r="P34" s="1" t="n">
        <v>0.712</v>
      </c>
      <c r="Q34" s="25" t="n">
        <v>12</v>
      </c>
      <c r="R34" s="1" t="n">
        <v>71.3</v>
      </c>
      <c r="S34" s="1" t="n">
        <v>34</v>
      </c>
      <c r="T34" s="1" t="n">
        <v>0</v>
      </c>
      <c r="U34" s="1" t="n">
        <v>31</v>
      </c>
      <c r="V34" s="1" t="n">
        <v>0</v>
      </c>
      <c r="W34" s="1" t="n">
        <v>36.2</v>
      </c>
    </row>
    <row r="35" customFormat="false" ht="14.25" hidden="false" customHeight="false" outlineLevel="0" collapsed="false">
      <c r="A35" s="25" t="s">
        <v>76</v>
      </c>
      <c r="B35" s="1" t="n">
        <v>0</v>
      </c>
      <c r="C35" s="1" t="n">
        <v>1</v>
      </c>
      <c r="D35" s="1" t="n">
        <v>0.468</v>
      </c>
      <c r="E35" s="1" t="n">
        <v>0.568</v>
      </c>
      <c r="F35" s="1" t="n">
        <v>110.5</v>
      </c>
      <c r="G35" s="1" t="n">
        <v>102.6</v>
      </c>
      <c r="H35" s="1" t="n">
        <v>7.32</v>
      </c>
      <c r="I35" s="1" t="n">
        <v>291</v>
      </c>
      <c r="J35" s="1" t="n">
        <v>0.848</v>
      </c>
      <c r="K35" s="1" t="n">
        <v>0</v>
      </c>
      <c r="L35" s="1" t="n">
        <v>1</v>
      </c>
      <c r="M35" s="1" t="n">
        <v>0</v>
      </c>
      <c r="N35" s="1" t="n">
        <v>13.8</v>
      </c>
      <c r="O35" s="1" t="n">
        <v>4</v>
      </c>
      <c r="P35" s="1" t="n">
        <v>0.824</v>
      </c>
      <c r="Q35" s="25" t="n">
        <v>14</v>
      </c>
      <c r="R35" s="25" t="n">
        <v>67.9</v>
      </c>
      <c r="S35" s="1" t="n">
        <v>33</v>
      </c>
      <c r="T35" s="1" t="n">
        <v>0</v>
      </c>
      <c r="U35" s="1" t="n">
        <v>37</v>
      </c>
      <c r="V35" s="1" t="n">
        <v>0</v>
      </c>
      <c r="W35" s="1" t="n">
        <v>40</v>
      </c>
    </row>
    <row r="36" customFormat="false" ht="15" hidden="false" customHeight="false" outlineLevel="0" collapsed="false">
      <c r="A36" s="25" t="s">
        <v>118</v>
      </c>
      <c r="B36" s="1" t="n">
        <v>0</v>
      </c>
      <c r="C36" s="1" t="n">
        <v>-1.61</v>
      </c>
      <c r="D36" s="1" t="n">
        <v>0.471</v>
      </c>
      <c r="E36" s="1" t="n">
        <v>0.5065</v>
      </c>
      <c r="F36" s="1" t="n">
        <v>101.3</v>
      </c>
      <c r="G36" s="1" t="n">
        <v>101.8</v>
      </c>
      <c r="H36" s="1" t="n">
        <v>-0.52</v>
      </c>
      <c r="I36" s="1" t="n">
        <v>292</v>
      </c>
      <c r="J36" s="12" t="n">
        <v>0.645</v>
      </c>
      <c r="K36" s="1" t="n">
        <v>0</v>
      </c>
      <c r="L36" s="1" t="n">
        <v>1.3</v>
      </c>
      <c r="M36" s="1" t="n">
        <v>0</v>
      </c>
      <c r="N36" s="1" t="n">
        <v>16.8</v>
      </c>
      <c r="O36" s="1" t="n">
        <v>8</v>
      </c>
      <c r="P36" s="25" t="n">
        <v>0.42</v>
      </c>
      <c r="Q36" s="25" t="n">
        <v>16</v>
      </c>
      <c r="R36" s="1" t="n">
        <v>69.3</v>
      </c>
      <c r="S36" s="1" t="n">
        <v>31</v>
      </c>
      <c r="T36" s="1" t="n">
        <v>0</v>
      </c>
      <c r="U36" s="1" t="n">
        <v>37</v>
      </c>
      <c r="V36" s="1" t="n">
        <v>0</v>
      </c>
      <c r="W36" s="1" t="n">
        <v>33.7</v>
      </c>
    </row>
    <row r="37" customFormat="false" ht="14.25" hidden="false" customHeight="false" outlineLevel="0" collapsed="false">
      <c r="A37" s="25" t="s">
        <v>51</v>
      </c>
      <c r="B37" s="1" t="n">
        <v>26</v>
      </c>
      <c r="C37" s="1" t="n">
        <v>15.67</v>
      </c>
      <c r="D37" s="1" t="n">
        <v>0.471</v>
      </c>
      <c r="E37" s="1" t="n">
        <v>0.647</v>
      </c>
      <c r="F37" s="1" t="n">
        <v>120.7</v>
      </c>
      <c r="G37" s="1" t="n">
        <v>92.5</v>
      </c>
      <c r="H37" s="1" t="n">
        <v>28.01</v>
      </c>
      <c r="I37" s="1" t="n">
        <v>14</v>
      </c>
      <c r="J37" s="1" t="n">
        <v>0.794</v>
      </c>
      <c r="K37" s="1" t="n">
        <v>17</v>
      </c>
      <c r="L37" s="1" t="n">
        <v>13.4</v>
      </c>
      <c r="M37" s="1" t="n">
        <v>1</v>
      </c>
      <c r="N37" s="1" t="n">
        <v>11.9</v>
      </c>
      <c r="O37" s="1" t="n">
        <v>7</v>
      </c>
      <c r="P37" s="1" t="n">
        <v>0.791</v>
      </c>
      <c r="Q37" s="25" t="n">
        <v>1</v>
      </c>
      <c r="R37" s="25" t="n">
        <v>70.6</v>
      </c>
      <c r="S37" s="1" t="n">
        <v>34</v>
      </c>
      <c r="T37" s="1" t="n">
        <v>9</v>
      </c>
      <c r="U37" s="1" t="n">
        <v>6</v>
      </c>
      <c r="V37" s="1" t="n">
        <v>0</v>
      </c>
      <c r="W37" s="1" t="n">
        <v>43.3</v>
      </c>
    </row>
    <row r="38" customFormat="false" ht="14.25" hidden="false" customHeight="false" outlineLevel="0" collapsed="false">
      <c r="A38" s="25" t="s">
        <v>119</v>
      </c>
      <c r="B38" s="1" t="n">
        <v>0</v>
      </c>
      <c r="C38" s="1" t="n">
        <v>-7.66</v>
      </c>
      <c r="D38" s="1" t="n">
        <v>0.483</v>
      </c>
      <c r="E38" s="1" t="n">
        <v>0.515</v>
      </c>
      <c r="F38" s="1" t="n">
        <v>103.6</v>
      </c>
      <c r="G38" s="1" t="n">
        <v>103.5</v>
      </c>
      <c r="H38" s="1" t="n">
        <v>-0.32</v>
      </c>
      <c r="I38" s="1" t="n">
        <v>315</v>
      </c>
      <c r="J38" s="1" t="n">
        <v>0.71</v>
      </c>
      <c r="K38" s="1" t="n">
        <v>0</v>
      </c>
      <c r="L38" s="1" t="n">
        <v>4.4</v>
      </c>
      <c r="M38" s="1" t="n">
        <v>0</v>
      </c>
      <c r="N38" s="1" t="n">
        <v>13.3</v>
      </c>
      <c r="O38" s="1" t="n">
        <v>9</v>
      </c>
      <c r="P38" s="1" t="n">
        <v>0.479</v>
      </c>
      <c r="Q38" s="25" t="n">
        <v>15</v>
      </c>
      <c r="R38" s="1" t="n">
        <v>75.2</v>
      </c>
      <c r="S38" s="1" t="n">
        <v>31</v>
      </c>
      <c r="T38" s="1" t="n">
        <v>0</v>
      </c>
      <c r="U38" s="1" t="n">
        <v>37</v>
      </c>
      <c r="V38" s="1" t="n">
        <v>0</v>
      </c>
      <c r="W38" s="1" t="n">
        <v>29.6</v>
      </c>
    </row>
    <row r="39" customFormat="false" ht="14.25" hidden="false" customHeight="false" outlineLevel="0" collapsed="false">
      <c r="A39" s="25" t="s">
        <v>120</v>
      </c>
      <c r="B39" s="1" t="n">
        <v>0</v>
      </c>
      <c r="C39" s="1" t="n">
        <v>3.15</v>
      </c>
      <c r="D39" s="1" t="n">
        <v>0.435</v>
      </c>
      <c r="E39" s="1" t="n">
        <v>0.579</v>
      </c>
      <c r="F39" s="1" t="n">
        <v>111.3</v>
      </c>
      <c r="G39" s="1" t="n">
        <v>95.5</v>
      </c>
      <c r="H39" s="1" t="n">
        <v>15.51</v>
      </c>
      <c r="I39" s="1" t="n">
        <v>64</v>
      </c>
      <c r="J39" s="1" t="n">
        <v>0.676</v>
      </c>
      <c r="K39" s="1" t="n">
        <v>0</v>
      </c>
      <c r="L39" s="1" t="n">
        <v>6</v>
      </c>
      <c r="M39" s="1" t="n">
        <v>1</v>
      </c>
      <c r="N39" s="1" t="n">
        <v>10.5</v>
      </c>
      <c r="O39" s="1" t="n">
        <v>5</v>
      </c>
      <c r="P39" s="1" t="n">
        <v>0.549</v>
      </c>
      <c r="Q39" s="25" t="n">
        <v>8</v>
      </c>
      <c r="R39" s="1" t="n">
        <v>65.5</v>
      </c>
      <c r="S39" s="1" t="n">
        <v>34</v>
      </c>
      <c r="T39" s="1" t="n">
        <v>0</v>
      </c>
      <c r="U39" s="1" t="n">
        <v>36</v>
      </c>
      <c r="V39" s="1" t="n">
        <v>0</v>
      </c>
      <c r="W39" s="1" t="n">
        <v>33.1</v>
      </c>
    </row>
    <row r="40" customFormat="false" ht="14.25" hidden="false" customHeight="false" outlineLevel="0" collapsed="false">
      <c r="A40" s="25" t="s">
        <v>121</v>
      </c>
      <c r="B40" s="1" t="n">
        <v>13</v>
      </c>
      <c r="C40" s="1" t="n">
        <v>10.05</v>
      </c>
      <c r="D40" s="1" t="n">
        <v>0.461</v>
      </c>
      <c r="E40" s="1" t="n">
        <v>0.609</v>
      </c>
      <c r="F40" s="1" t="n">
        <v>118.1</v>
      </c>
      <c r="G40" s="1" t="n">
        <v>98.4</v>
      </c>
      <c r="H40" s="1" t="n">
        <v>21.09</v>
      </c>
      <c r="I40" s="1" t="n">
        <v>34</v>
      </c>
      <c r="J40" s="1" t="n">
        <v>0.735</v>
      </c>
      <c r="K40" s="1" t="n">
        <v>3</v>
      </c>
      <c r="L40" s="1" t="n">
        <v>8.8</v>
      </c>
      <c r="M40" s="1" t="n">
        <v>1</v>
      </c>
      <c r="N40" s="1" t="n">
        <v>9.4</v>
      </c>
      <c r="O40" s="1" t="n">
        <v>8</v>
      </c>
      <c r="P40" s="1" t="n">
        <v>0.668</v>
      </c>
      <c r="Q40" s="25" t="n">
        <v>5</v>
      </c>
      <c r="R40" s="1" t="n">
        <v>69.3</v>
      </c>
      <c r="S40" s="1" t="n">
        <v>34</v>
      </c>
      <c r="T40" s="1" t="n">
        <v>0</v>
      </c>
      <c r="U40" s="1" t="n">
        <v>14</v>
      </c>
      <c r="V40" s="1" t="n">
        <v>0</v>
      </c>
      <c r="W40" s="1" t="n">
        <v>35.5</v>
      </c>
    </row>
    <row r="41" customFormat="false" ht="14.25" hidden="false" customHeight="false" outlineLevel="0" collapsed="false">
      <c r="A41" s="25" t="s">
        <v>122</v>
      </c>
      <c r="B41" s="1" t="n">
        <v>3</v>
      </c>
      <c r="C41" s="1" t="n">
        <v>8.61</v>
      </c>
      <c r="D41" s="1" t="n">
        <v>0.464</v>
      </c>
      <c r="E41" s="1" t="n">
        <v>0.588</v>
      </c>
      <c r="F41" s="1" t="n">
        <v>126</v>
      </c>
      <c r="G41" s="1" t="n">
        <v>103.5</v>
      </c>
      <c r="H41" s="1" t="n">
        <v>22.1</v>
      </c>
      <c r="I41" s="1" t="n">
        <v>15</v>
      </c>
      <c r="J41" s="1" t="n">
        <v>0.625</v>
      </c>
      <c r="K41" s="1" t="n">
        <v>0</v>
      </c>
      <c r="L41" s="1" t="n">
        <v>7.2</v>
      </c>
      <c r="M41" s="1" t="n">
        <v>1</v>
      </c>
      <c r="N41" s="1" t="n">
        <v>13.2</v>
      </c>
      <c r="O41" s="1" t="n">
        <v>6</v>
      </c>
      <c r="P41" s="1" t="n">
        <v>0.801</v>
      </c>
      <c r="Q41" s="25" t="n">
        <v>10</v>
      </c>
      <c r="R41" s="1" t="n">
        <v>78.2</v>
      </c>
      <c r="S41" s="1" t="n">
        <v>32</v>
      </c>
      <c r="T41" s="1" t="n">
        <v>0</v>
      </c>
      <c r="U41" s="1" t="n">
        <v>30</v>
      </c>
      <c r="V41" s="1" t="n">
        <v>0</v>
      </c>
      <c r="W41" s="1" t="n">
        <v>36.7</v>
      </c>
    </row>
    <row r="42" customFormat="false" ht="14.25" hidden="false" customHeight="false" outlineLevel="0" collapsed="false">
      <c r="A42" s="25" t="s">
        <v>123</v>
      </c>
      <c r="B42" s="1" t="n">
        <v>12</v>
      </c>
      <c r="C42" s="1" t="n">
        <v>5.7</v>
      </c>
      <c r="D42" s="1" t="n">
        <v>0.481</v>
      </c>
      <c r="E42" s="1" t="n">
        <v>0.643</v>
      </c>
      <c r="F42" s="1" t="n">
        <v>118.2</v>
      </c>
      <c r="G42" s="1" t="n">
        <v>93.2</v>
      </c>
      <c r="H42" s="1" t="n">
        <v>23.83</v>
      </c>
      <c r="I42" s="1" t="n">
        <v>44</v>
      </c>
      <c r="J42" s="1" t="n">
        <v>0.852</v>
      </c>
      <c r="K42" s="1" t="n">
        <v>2</v>
      </c>
      <c r="L42" s="1" t="n">
        <v>13.3</v>
      </c>
      <c r="M42" s="1" t="n">
        <v>1</v>
      </c>
      <c r="N42" s="1" t="n">
        <v>11.6</v>
      </c>
      <c r="O42" s="1" t="n">
        <v>8</v>
      </c>
      <c r="P42" s="1" t="n">
        <v>0.656</v>
      </c>
      <c r="Q42" s="25" t="n">
        <v>3</v>
      </c>
      <c r="R42" s="1" t="n">
        <v>66.1</v>
      </c>
      <c r="S42" s="1" t="n">
        <v>34</v>
      </c>
      <c r="T42" s="1" t="n">
        <v>1</v>
      </c>
      <c r="U42" s="1" t="n">
        <v>9</v>
      </c>
      <c r="V42" s="1" t="n">
        <v>0</v>
      </c>
      <c r="W42" s="1" t="n">
        <v>35.4</v>
      </c>
    </row>
    <row r="43" customFormat="false" ht="14.25" hidden="false" customHeight="false" outlineLevel="0" collapsed="false">
      <c r="A43" s="25" t="s">
        <v>124</v>
      </c>
      <c r="B43" s="1" t="n">
        <v>0</v>
      </c>
      <c r="C43" s="1" t="n">
        <v>1.54</v>
      </c>
      <c r="D43" s="1" t="n">
        <v>0.452</v>
      </c>
      <c r="E43" s="1" t="n">
        <v>0.579</v>
      </c>
      <c r="F43" s="1" t="n">
        <v>109</v>
      </c>
      <c r="G43" s="1" t="n">
        <v>96.4</v>
      </c>
      <c r="H43" s="1" t="n">
        <v>12.5</v>
      </c>
      <c r="I43" s="1" t="n">
        <v>165</v>
      </c>
      <c r="J43" s="1" t="n">
        <v>0.793</v>
      </c>
      <c r="K43" s="1" t="n">
        <v>0</v>
      </c>
      <c r="L43" s="1" t="n">
        <v>8.8</v>
      </c>
      <c r="M43" s="1" t="n">
        <v>0</v>
      </c>
      <c r="N43" s="1" t="n">
        <v>10</v>
      </c>
      <c r="O43" s="1" t="n">
        <v>10</v>
      </c>
      <c r="P43" s="1" t="n">
        <v>0.655</v>
      </c>
      <c r="Q43" s="25" t="n">
        <v>12</v>
      </c>
      <c r="R43" s="1" t="n">
        <v>62</v>
      </c>
      <c r="S43" s="1" t="n">
        <v>29</v>
      </c>
      <c r="T43" s="1" t="n">
        <v>0</v>
      </c>
      <c r="U43" s="1" t="n">
        <v>31</v>
      </c>
      <c r="V43" s="1" t="n">
        <v>0</v>
      </c>
      <c r="W43" s="1" t="n">
        <v>31.6</v>
      </c>
    </row>
    <row r="44" customFormat="false" ht="15" hidden="false" customHeight="false" outlineLevel="0" collapsed="false">
      <c r="A44" s="25" t="s">
        <v>50</v>
      </c>
      <c r="B44" s="1" t="n">
        <v>3</v>
      </c>
      <c r="C44" s="1" t="n">
        <v>7.36</v>
      </c>
      <c r="D44" s="1" t="n">
        <v>0.447</v>
      </c>
      <c r="E44" s="1" t="n">
        <v>0.57</v>
      </c>
      <c r="F44" s="1" t="n">
        <v>108.5</v>
      </c>
      <c r="G44" s="1" t="n">
        <v>96</v>
      </c>
      <c r="H44" s="1" t="n">
        <v>12.9</v>
      </c>
      <c r="I44" s="1" t="n">
        <v>49</v>
      </c>
      <c r="J44" s="1" t="n">
        <v>0.793</v>
      </c>
      <c r="K44" s="1" t="n">
        <v>0</v>
      </c>
      <c r="L44" s="12" t="n">
        <v>3.6</v>
      </c>
      <c r="M44" s="1" t="n">
        <v>1</v>
      </c>
      <c r="N44" s="1" t="n">
        <v>12.6</v>
      </c>
      <c r="O44" s="1" t="n">
        <v>7</v>
      </c>
      <c r="P44" s="1" t="n">
        <v>0.591</v>
      </c>
      <c r="Q44" s="25" t="n">
        <v>11</v>
      </c>
      <c r="R44" s="1" t="n">
        <v>66.9</v>
      </c>
      <c r="S44" s="1" t="n">
        <v>32</v>
      </c>
      <c r="T44" s="12" t="n">
        <v>0</v>
      </c>
      <c r="U44" s="1" t="n">
        <v>37</v>
      </c>
      <c r="V44" s="1" t="n">
        <v>0</v>
      </c>
      <c r="W44" s="1" t="n">
        <v>36.1</v>
      </c>
    </row>
    <row r="45" customFormat="false" ht="14.25" hidden="false" customHeight="false" outlineLevel="0" collapsed="false">
      <c r="A45" s="25" t="s">
        <v>69</v>
      </c>
      <c r="B45" s="1" t="n">
        <v>9</v>
      </c>
      <c r="C45" s="1" t="n">
        <v>11.47</v>
      </c>
      <c r="D45" s="1" t="n">
        <v>0.48</v>
      </c>
      <c r="E45" s="1" t="n">
        <v>0.613</v>
      </c>
      <c r="F45" s="1" t="n">
        <v>117</v>
      </c>
      <c r="G45" s="1" t="n">
        <v>93.9</v>
      </c>
      <c r="H45" s="1" t="n">
        <v>24.22</v>
      </c>
      <c r="I45" s="1" t="n">
        <v>62</v>
      </c>
      <c r="J45" s="1" t="n">
        <v>0.781</v>
      </c>
      <c r="K45" s="1" t="n">
        <v>2</v>
      </c>
      <c r="L45" s="1" t="n">
        <v>13</v>
      </c>
      <c r="M45" s="1" t="n">
        <v>1</v>
      </c>
      <c r="N45" s="1" t="n">
        <v>13.1</v>
      </c>
      <c r="O45" s="1" t="n">
        <v>8</v>
      </c>
      <c r="P45" s="1" t="n">
        <v>0.664</v>
      </c>
      <c r="Q45" s="1" t="n">
        <v>4</v>
      </c>
      <c r="R45" s="1" t="n">
        <v>68.4</v>
      </c>
      <c r="S45" s="1" t="n">
        <v>32</v>
      </c>
      <c r="T45" s="1" t="n">
        <v>0</v>
      </c>
      <c r="U45" s="1" t="n">
        <v>15</v>
      </c>
      <c r="V45" s="1" t="n">
        <v>0</v>
      </c>
      <c r="W45" s="1" t="n">
        <v>35.4</v>
      </c>
    </row>
    <row r="46" customFormat="false" ht="14.25" hidden="false" customHeight="false" outlineLevel="0" collapsed="false">
      <c r="A46" s="1" t="s">
        <v>84</v>
      </c>
      <c r="B46" s="1" t="n">
        <v>0</v>
      </c>
      <c r="C46" s="1" t="n">
        <v>-1.51</v>
      </c>
      <c r="D46" s="1" t="n">
        <v>0.452</v>
      </c>
      <c r="E46" s="1" t="n">
        <v>0.593</v>
      </c>
      <c r="F46" s="1" t="n">
        <v>111.5</v>
      </c>
      <c r="G46" s="1" t="n">
        <v>95.2</v>
      </c>
      <c r="H46" s="1" t="n">
        <v>15.62</v>
      </c>
      <c r="I46" s="1" t="n">
        <v>51</v>
      </c>
      <c r="J46" s="1" t="n">
        <v>0.727</v>
      </c>
      <c r="K46" s="1" t="n">
        <v>0</v>
      </c>
      <c r="L46" s="1" t="n">
        <v>8.5</v>
      </c>
      <c r="M46" s="1" t="n">
        <v>0</v>
      </c>
      <c r="N46" s="1" t="n">
        <v>11.2</v>
      </c>
      <c r="O46" s="1" t="n">
        <v>8</v>
      </c>
      <c r="P46" s="1" t="n">
        <v>0.563</v>
      </c>
      <c r="Q46" s="1" t="n">
        <v>11</v>
      </c>
      <c r="R46" s="1" t="n">
        <v>65.4</v>
      </c>
      <c r="S46" s="1" t="n">
        <v>33</v>
      </c>
      <c r="T46" s="1" t="n">
        <v>0</v>
      </c>
      <c r="U46" s="1" t="n">
        <v>28</v>
      </c>
      <c r="V46" s="1" t="n">
        <v>0</v>
      </c>
      <c r="W46" s="1" t="n">
        <v>33.7</v>
      </c>
    </row>
    <row r="47" customFormat="false" ht="14.25" hidden="false" customHeight="false" outlineLevel="0" collapsed="false">
      <c r="A47" s="1" t="s">
        <v>42</v>
      </c>
      <c r="B47" s="1" t="n">
        <v>0</v>
      </c>
      <c r="C47" s="1" t="n">
        <v>0.8</v>
      </c>
      <c r="D47" s="1" t="n">
        <v>0.455</v>
      </c>
      <c r="E47" s="1" t="n">
        <v>0.5063</v>
      </c>
      <c r="F47" s="1" t="n">
        <v>110.2</v>
      </c>
      <c r="G47" s="1" t="n">
        <v>111.4</v>
      </c>
      <c r="H47" s="1" t="n">
        <v>-1.33</v>
      </c>
      <c r="I47" s="1" t="n">
        <v>152</v>
      </c>
      <c r="J47" s="1" t="n">
        <v>0.529</v>
      </c>
      <c r="K47" s="1" t="n">
        <v>0</v>
      </c>
      <c r="L47" s="1" t="n">
        <v>-1.1</v>
      </c>
      <c r="M47" s="1" t="n">
        <v>0</v>
      </c>
      <c r="N47" s="1" t="n">
        <v>12.9</v>
      </c>
      <c r="O47" s="1" t="n">
        <v>8</v>
      </c>
      <c r="P47" s="1" t="n">
        <v>0.514</v>
      </c>
      <c r="Q47" s="1" t="n">
        <v>16</v>
      </c>
      <c r="R47" s="1" t="n">
        <v>77.8</v>
      </c>
      <c r="S47" s="1" t="n">
        <v>34</v>
      </c>
      <c r="T47" s="1" t="n">
        <v>0</v>
      </c>
      <c r="U47" s="1" t="n">
        <v>37</v>
      </c>
      <c r="V47" s="1" t="n">
        <v>0</v>
      </c>
      <c r="W47" s="1" t="n">
        <v>37.8</v>
      </c>
    </row>
    <row r="48" customFormat="false" ht="14.25" hidden="false" customHeight="false" outlineLevel="0" collapsed="false">
      <c r="A48" s="25" t="s">
        <v>73</v>
      </c>
      <c r="B48" s="1" t="n">
        <v>1</v>
      </c>
      <c r="C48" s="1" t="n">
        <v>3.18</v>
      </c>
      <c r="D48" s="1" t="n">
        <v>0.45</v>
      </c>
      <c r="E48" s="1" t="n">
        <v>0.586</v>
      </c>
      <c r="F48" s="1" t="n">
        <v>109.4</v>
      </c>
      <c r="G48" s="1" t="n">
        <v>95.8</v>
      </c>
      <c r="H48" s="1" t="n">
        <v>13.95</v>
      </c>
      <c r="I48" s="1" t="n">
        <v>52</v>
      </c>
      <c r="J48" s="1" t="n">
        <v>0.656</v>
      </c>
      <c r="K48" s="1" t="n">
        <v>0</v>
      </c>
      <c r="L48" s="1" t="n">
        <v>3.1</v>
      </c>
      <c r="M48" s="1" t="n">
        <v>1</v>
      </c>
      <c r="N48" s="1" t="n">
        <v>13.6</v>
      </c>
      <c r="O48" s="1" t="n">
        <v>7</v>
      </c>
      <c r="P48" s="1" t="n">
        <v>0.534</v>
      </c>
      <c r="Q48" s="1" t="n">
        <v>9</v>
      </c>
      <c r="R48" s="1" t="n">
        <v>70.4</v>
      </c>
      <c r="S48" s="1" t="n">
        <v>32</v>
      </c>
      <c r="T48" s="1" t="n">
        <v>0</v>
      </c>
      <c r="U48" s="1" t="n">
        <v>35</v>
      </c>
      <c r="V48" s="1" t="n">
        <v>0</v>
      </c>
      <c r="W48" s="1" t="n">
        <v>38.2</v>
      </c>
    </row>
    <row r="49" customFormat="false" ht="14.25" hidden="false" customHeight="false" outlineLevel="0" collapsed="false">
      <c r="A49" s="1" t="s">
        <v>125</v>
      </c>
      <c r="B49" s="1" t="n">
        <v>0</v>
      </c>
      <c r="C49" s="1" t="n">
        <v>2.29</v>
      </c>
      <c r="D49" s="1" t="n">
        <v>0.473</v>
      </c>
      <c r="E49" s="1" t="n">
        <v>0.624</v>
      </c>
      <c r="F49" s="1" t="n">
        <v>119.8</v>
      </c>
      <c r="G49" s="1" t="n">
        <v>95</v>
      </c>
      <c r="H49" s="1" t="n">
        <v>25.27</v>
      </c>
      <c r="I49" s="1" t="n">
        <v>93</v>
      </c>
      <c r="J49" s="1" t="n">
        <v>0.882</v>
      </c>
      <c r="K49" s="1" t="n">
        <v>0</v>
      </c>
      <c r="L49" s="1" t="n">
        <v>14.7</v>
      </c>
      <c r="M49" s="1" t="n">
        <v>0</v>
      </c>
      <c r="N49" s="1" t="n">
        <v>10.9</v>
      </c>
      <c r="O49" s="1" t="n">
        <v>10</v>
      </c>
      <c r="P49" s="1" t="n">
        <v>0.609</v>
      </c>
      <c r="Q49" s="1" t="n">
        <v>6</v>
      </c>
      <c r="R49" s="1" t="n">
        <v>60</v>
      </c>
      <c r="S49" s="1" t="n">
        <v>34</v>
      </c>
      <c r="T49" s="1" t="n">
        <v>0</v>
      </c>
      <c r="U49" s="1" t="n">
        <v>11</v>
      </c>
      <c r="V49" s="1" t="n">
        <v>0</v>
      </c>
      <c r="W49" s="1" t="n">
        <v>34</v>
      </c>
    </row>
    <row r="50" customFormat="false" ht="14.25" hidden="false" customHeight="false" outlineLevel="0" collapsed="false">
      <c r="A50" s="25" t="s">
        <v>126</v>
      </c>
      <c r="B50" s="1" t="n">
        <v>4</v>
      </c>
      <c r="C50" s="1" t="n">
        <v>3.94</v>
      </c>
      <c r="D50" s="1" t="n">
        <v>0.411</v>
      </c>
      <c r="E50" s="1" t="n">
        <v>0.587</v>
      </c>
      <c r="F50" s="1" t="n">
        <v>108.9</v>
      </c>
      <c r="G50" s="1" t="n">
        <v>88.1</v>
      </c>
      <c r="H50" s="1" t="n">
        <v>17.03</v>
      </c>
      <c r="I50" s="1" t="n">
        <v>47</v>
      </c>
      <c r="J50" s="1" t="n">
        <v>0.688</v>
      </c>
      <c r="K50" s="1" t="n">
        <v>1</v>
      </c>
      <c r="L50" s="1" t="n">
        <v>6.9</v>
      </c>
      <c r="M50" s="1" t="n">
        <v>1</v>
      </c>
      <c r="N50" s="1" t="n">
        <v>13.4</v>
      </c>
      <c r="O50" s="1" t="n">
        <v>4</v>
      </c>
      <c r="P50" s="25" t="n">
        <v>0.625</v>
      </c>
      <c r="Q50" s="1" t="n">
        <v>7</v>
      </c>
      <c r="R50" s="1" t="n">
        <v>65.3</v>
      </c>
      <c r="S50" s="1" t="n">
        <v>32</v>
      </c>
      <c r="T50" s="1" t="n">
        <v>1</v>
      </c>
      <c r="U50" s="1" t="n">
        <v>37</v>
      </c>
      <c r="V50" s="1" t="n">
        <v>0</v>
      </c>
      <c r="W50" s="1" t="n">
        <v>36.2</v>
      </c>
    </row>
    <row r="51" customFormat="false" ht="14.25" hidden="false" customHeight="false" outlineLevel="0" collapsed="false">
      <c r="A51" s="25" t="s">
        <v>127</v>
      </c>
      <c r="B51" s="1" t="n">
        <v>5</v>
      </c>
      <c r="C51" s="1" t="n">
        <v>-1.6</v>
      </c>
      <c r="D51" s="1" t="n">
        <v>0.496</v>
      </c>
      <c r="E51" s="1" t="n">
        <v>0.621</v>
      </c>
      <c r="F51" s="1" t="n">
        <v>118.7</v>
      </c>
      <c r="G51" s="1" t="n">
        <v>95</v>
      </c>
      <c r="H51" s="1" t="n">
        <v>24.64</v>
      </c>
      <c r="I51" s="1" t="n">
        <v>78</v>
      </c>
      <c r="J51" s="1" t="n">
        <f aca="false">28/32</f>
        <v>0.875</v>
      </c>
      <c r="K51" s="1" t="n">
        <v>1</v>
      </c>
      <c r="L51" s="1" t="n">
        <v>15.5</v>
      </c>
      <c r="M51" s="1" t="n">
        <v>0</v>
      </c>
      <c r="N51" s="1" t="n">
        <v>10.5</v>
      </c>
      <c r="O51" s="1" t="n">
        <v>8</v>
      </c>
      <c r="P51" s="25" t="n">
        <v>0.699</v>
      </c>
      <c r="Q51" s="1" t="n">
        <v>7</v>
      </c>
      <c r="R51" s="1" t="n">
        <v>57.5</v>
      </c>
      <c r="S51" s="1" t="n">
        <v>32</v>
      </c>
      <c r="T51" s="1" t="n">
        <v>0</v>
      </c>
      <c r="U51" s="1" t="n">
        <v>22</v>
      </c>
      <c r="V51" s="1" t="n">
        <v>0</v>
      </c>
      <c r="W51" s="1" t="n">
        <v>33.2</v>
      </c>
    </row>
    <row r="52" customFormat="false" ht="14.25" hidden="false" customHeight="false" outlineLevel="0" collapsed="false">
      <c r="A52" s="25" t="s">
        <v>128</v>
      </c>
      <c r="B52" s="1" t="n">
        <v>0</v>
      </c>
      <c r="C52" s="1" t="n">
        <v>-7.81</v>
      </c>
      <c r="D52" s="1" t="n">
        <v>0.46</v>
      </c>
      <c r="E52" s="1" t="n">
        <v>0.5086</v>
      </c>
      <c r="F52" s="1" t="n">
        <v>109.7</v>
      </c>
      <c r="G52" s="1" t="n">
        <v>107.6</v>
      </c>
      <c r="H52" s="1" t="n">
        <v>2.67</v>
      </c>
      <c r="I52" s="1" t="n">
        <v>235</v>
      </c>
      <c r="J52" s="1" t="n">
        <v>0.611</v>
      </c>
      <c r="K52" s="1" t="n">
        <v>0</v>
      </c>
      <c r="L52" s="1" t="n">
        <v>3.6</v>
      </c>
      <c r="M52" s="1" t="n">
        <v>0</v>
      </c>
      <c r="N52" s="1" t="n">
        <v>12.4</v>
      </c>
      <c r="O52" s="1" t="n">
        <v>8</v>
      </c>
      <c r="P52" s="25" t="n">
        <v>0.406</v>
      </c>
      <c r="Q52" s="1" t="n">
        <v>15</v>
      </c>
      <c r="R52" s="1" t="n">
        <v>72.5</v>
      </c>
      <c r="S52" s="1" t="n">
        <v>36</v>
      </c>
      <c r="T52" s="1" t="n">
        <v>0</v>
      </c>
      <c r="U52" s="1" t="n">
        <v>37</v>
      </c>
      <c r="V52" s="1" t="n">
        <v>0</v>
      </c>
      <c r="W52" s="1" t="n">
        <v>35</v>
      </c>
    </row>
    <row r="53" customFormat="false" ht="14.25" hidden="false" customHeight="false" outlineLevel="0" collapsed="false">
      <c r="A53" s="25" t="s">
        <v>38</v>
      </c>
      <c r="B53" s="1" t="n">
        <v>7</v>
      </c>
      <c r="C53" s="1" t="n">
        <v>-10.71</v>
      </c>
      <c r="D53" s="1" t="n">
        <v>0.432</v>
      </c>
      <c r="E53" s="1" t="n">
        <v>0.531</v>
      </c>
      <c r="F53" s="1" t="n">
        <v>103.5</v>
      </c>
      <c r="G53" s="1" t="n">
        <v>107.5</v>
      </c>
      <c r="H53" s="1" t="n">
        <v>-3.66</v>
      </c>
      <c r="I53" s="1" t="n">
        <v>316</v>
      </c>
      <c r="J53" s="1" t="n">
        <v>0.676</v>
      </c>
      <c r="K53" s="1" t="n">
        <v>1</v>
      </c>
      <c r="L53" s="1" t="n">
        <v>2.6</v>
      </c>
      <c r="M53" s="1" t="n">
        <v>0</v>
      </c>
      <c r="N53" s="1" t="n">
        <v>11.6</v>
      </c>
      <c r="O53" s="1" t="n">
        <v>9</v>
      </c>
      <c r="P53" s="25" t="n">
        <v>0.603</v>
      </c>
      <c r="Q53" s="1" t="n">
        <v>16</v>
      </c>
      <c r="R53" s="1" t="n">
        <v>72.7</v>
      </c>
      <c r="S53" s="1" t="n">
        <v>34</v>
      </c>
      <c r="T53" s="1" t="n">
        <v>1</v>
      </c>
      <c r="U53" s="1" t="n">
        <v>37</v>
      </c>
      <c r="V53" s="1" t="n">
        <v>0</v>
      </c>
      <c r="W53" s="1" t="n">
        <v>35.5</v>
      </c>
    </row>
    <row r="54" customFormat="false" ht="14.25" hidden="false" customHeight="false" outlineLevel="0" collapsed="false">
      <c r="A54" s="1" t="s">
        <v>129</v>
      </c>
      <c r="B54" s="1" t="n">
        <v>1</v>
      </c>
      <c r="C54" s="1" t="n">
        <v>-7.01</v>
      </c>
      <c r="D54" s="1" t="n">
        <v>0.432</v>
      </c>
      <c r="E54" s="1" t="n">
        <v>0.5008</v>
      </c>
      <c r="F54" s="1" t="n">
        <v>97.8</v>
      </c>
      <c r="G54" s="1" t="n">
        <v>102.2</v>
      </c>
      <c r="H54" s="1" t="n">
        <v>-4.76</v>
      </c>
      <c r="I54" s="1" t="n">
        <v>322</v>
      </c>
      <c r="J54" s="1" t="n">
        <v>0.647</v>
      </c>
      <c r="K54" s="1" t="n">
        <v>1</v>
      </c>
      <c r="L54" s="1" t="n">
        <v>0.5</v>
      </c>
      <c r="M54" s="1" t="n">
        <v>0</v>
      </c>
      <c r="N54" s="1" t="n">
        <v>14.1</v>
      </c>
      <c r="O54" s="1" t="n">
        <v>7</v>
      </c>
      <c r="P54" s="25" t="n">
        <v>0.497</v>
      </c>
      <c r="Q54" s="1" t="n">
        <v>16</v>
      </c>
      <c r="R54" s="1" t="n">
        <v>69.6</v>
      </c>
      <c r="S54" s="1" t="n">
        <v>34</v>
      </c>
      <c r="T54" s="1" t="n">
        <v>0</v>
      </c>
      <c r="U54" s="1" t="n">
        <v>37</v>
      </c>
      <c r="V54" s="1" t="n">
        <v>0</v>
      </c>
      <c r="W54" s="1" t="n">
        <v>32.1</v>
      </c>
    </row>
    <row r="55" customFormat="false" ht="14.25" hidden="false" customHeight="false" outlineLevel="0" collapsed="false">
      <c r="A55" s="1" t="s">
        <v>64</v>
      </c>
      <c r="B55" s="1" t="n">
        <v>9</v>
      </c>
      <c r="C55" s="1" t="n">
        <v>15.73</v>
      </c>
      <c r="D55" s="1" t="n">
        <v>0.519</v>
      </c>
      <c r="E55" s="1" t="n">
        <v>0.624</v>
      </c>
      <c r="F55" s="1" t="n">
        <v>124</v>
      </c>
      <c r="G55" s="1" t="n">
        <v>100.4</v>
      </c>
      <c r="H55" s="1" t="n">
        <v>22.95</v>
      </c>
      <c r="I55" s="1" t="n">
        <v>106</v>
      </c>
      <c r="J55" s="1" t="n">
        <v>0.879</v>
      </c>
      <c r="K55" s="1" t="n">
        <v>3</v>
      </c>
      <c r="L55" s="1" t="n">
        <v>15</v>
      </c>
      <c r="M55" s="1" t="n">
        <v>1</v>
      </c>
      <c r="N55" s="1" t="n">
        <v>11.5</v>
      </c>
      <c r="O55" s="1" t="n">
        <v>9</v>
      </c>
      <c r="P55" s="25" t="n">
        <v>0.657</v>
      </c>
      <c r="Q55" s="1" t="n">
        <v>3</v>
      </c>
      <c r="R55" s="1" t="n">
        <v>75.5</v>
      </c>
      <c r="S55" s="1" t="n">
        <v>33</v>
      </c>
      <c r="T55" s="1" t="n">
        <v>0</v>
      </c>
      <c r="U55" s="1" t="n">
        <v>8</v>
      </c>
      <c r="V55" s="1" t="n">
        <v>0</v>
      </c>
      <c r="W55" s="1" t="n">
        <v>39</v>
      </c>
    </row>
    <row r="56" customFormat="false" ht="14.25" hidden="false" customHeight="false" outlineLevel="0" collapsed="false">
      <c r="A56" s="25" t="s">
        <v>130</v>
      </c>
      <c r="B56" s="1" t="n">
        <v>1</v>
      </c>
      <c r="C56" s="1" t="n">
        <v>-2.51</v>
      </c>
      <c r="D56" s="1" t="n">
        <v>0.482</v>
      </c>
      <c r="E56" s="1" t="n">
        <v>0.602</v>
      </c>
      <c r="F56" s="1" t="n">
        <v>118</v>
      </c>
      <c r="G56" s="1" t="n">
        <v>105.5</v>
      </c>
      <c r="H56" s="1" t="n">
        <v>12.39</v>
      </c>
      <c r="I56" s="1" t="n">
        <v>145</v>
      </c>
      <c r="J56" s="1" t="n">
        <v>0.853</v>
      </c>
      <c r="K56" s="1" t="n">
        <v>0</v>
      </c>
      <c r="L56" s="1" t="n">
        <v>9</v>
      </c>
      <c r="M56" s="1" t="n">
        <v>0</v>
      </c>
      <c r="N56" s="1" t="n">
        <v>10.4</v>
      </c>
      <c r="O56" s="1" t="n">
        <v>9</v>
      </c>
      <c r="P56" s="25" t="n">
        <v>0.72</v>
      </c>
      <c r="Q56" s="1" t="n">
        <v>12</v>
      </c>
      <c r="R56" s="25" t="n">
        <v>75</v>
      </c>
      <c r="S56" s="1" t="n">
        <v>34</v>
      </c>
      <c r="T56" s="1" t="n">
        <v>0</v>
      </c>
      <c r="U56" s="1" t="n">
        <v>37</v>
      </c>
      <c r="V56" s="1" t="n">
        <v>0</v>
      </c>
      <c r="W56" s="25" t="n">
        <v>36.7</v>
      </c>
    </row>
    <row r="57" customFormat="false" ht="14.25" hidden="false" customHeight="false" outlineLevel="0" collapsed="false">
      <c r="A57" s="1" t="s">
        <v>131</v>
      </c>
      <c r="B57" s="1" t="n">
        <v>2</v>
      </c>
      <c r="C57" s="1" t="n">
        <v>7.75</v>
      </c>
      <c r="D57" s="1" t="n">
        <v>0.454</v>
      </c>
      <c r="E57" s="1" t="n">
        <v>0.587</v>
      </c>
      <c r="F57" s="1" t="n">
        <v>114.2</v>
      </c>
      <c r="G57" s="1" t="n">
        <v>100.7</v>
      </c>
      <c r="H57" s="1" t="n">
        <v>12.34</v>
      </c>
      <c r="I57" s="1" t="n">
        <v>76</v>
      </c>
      <c r="J57" s="1" t="n">
        <v>0.727</v>
      </c>
      <c r="K57" s="1" t="n">
        <v>1</v>
      </c>
      <c r="L57" s="1" t="n">
        <v>5.5</v>
      </c>
      <c r="M57" s="1" t="n">
        <v>1</v>
      </c>
      <c r="N57" s="1" t="n">
        <v>11.2</v>
      </c>
      <c r="O57" s="1" t="n">
        <v>5</v>
      </c>
      <c r="P57" s="25" t="n">
        <v>0.547</v>
      </c>
      <c r="Q57" s="1" t="n">
        <v>11</v>
      </c>
      <c r="R57" s="1" t="n">
        <v>73.1</v>
      </c>
      <c r="S57" s="1" t="n">
        <v>33</v>
      </c>
      <c r="T57" s="1" t="n">
        <v>0</v>
      </c>
      <c r="U57" s="1" t="n">
        <v>37</v>
      </c>
      <c r="V57" s="1" t="n">
        <v>0</v>
      </c>
      <c r="W57" s="1" t="n">
        <v>35.3</v>
      </c>
    </row>
    <row r="58" customFormat="false" ht="14.25" hidden="false" customHeight="false" outlineLevel="0" collapsed="false">
      <c r="A58" s="1" t="s">
        <v>132</v>
      </c>
      <c r="B58" s="1" t="n">
        <v>1</v>
      </c>
      <c r="C58" s="1" t="n">
        <v>5.05</v>
      </c>
      <c r="D58" s="1" t="n">
        <v>0.467</v>
      </c>
      <c r="E58" s="1" t="n">
        <v>0.614</v>
      </c>
      <c r="F58" s="1" t="n">
        <v>110.1</v>
      </c>
      <c r="G58" s="1" t="n">
        <v>96</v>
      </c>
      <c r="H58" s="1" t="n">
        <v>14.31</v>
      </c>
      <c r="I58" s="1" t="n">
        <v>56</v>
      </c>
      <c r="J58" s="1" t="n">
        <v>0.765</v>
      </c>
      <c r="K58" s="1" t="n">
        <v>0</v>
      </c>
      <c r="L58" s="1" t="n">
        <v>8.3</v>
      </c>
      <c r="M58" s="1" t="n">
        <v>0</v>
      </c>
      <c r="N58" s="1" t="n">
        <v>12.5</v>
      </c>
      <c r="O58" s="1" t="n">
        <v>7</v>
      </c>
      <c r="P58" s="25" t="n">
        <v>0.669</v>
      </c>
      <c r="Q58" s="1" t="n">
        <v>10</v>
      </c>
      <c r="R58" s="1" t="n">
        <v>66.9</v>
      </c>
      <c r="S58" s="1" t="n">
        <v>34</v>
      </c>
      <c r="T58" s="1" t="n">
        <v>0</v>
      </c>
      <c r="U58" s="1" t="n">
        <v>36</v>
      </c>
      <c r="V58" s="1" t="n">
        <v>0</v>
      </c>
      <c r="W58" s="1" t="n">
        <v>36.7</v>
      </c>
    </row>
    <row r="59" customFormat="false" ht="14.25" hidden="false" customHeight="false" outlineLevel="0" collapsed="false">
      <c r="A59" s="1" t="s">
        <v>133</v>
      </c>
      <c r="B59" s="1" t="n">
        <v>2</v>
      </c>
      <c r="C59" s="1" t="n">
        <v>8.41</v>
      </c>
      <c r="D59" s="1" t="n">
        <v>0.431</v>
      </c>
      <c r="E59" s="1" t="n">
        <v>0.592</v>
      </c>
      <c r="F59" s="1" t="n">
        <v>112.4</v>
      </c>
      <c r="G59" s="1" t="n">
        <v>95.9</v>
      </c>
      <c r="H59" s="1" t="n">
        <v>16.24</v>
      </c>
      <c r="I59" s="1" t="n">
        <v>1</v>
      </c>
      <c r="J59" s="1" t="n">
        <v>0.559</v>
      </c>
      <c r="K59" s="1" t="n">
        <v>0</v>
      </c>
      <c r="L59" s="1" t="n">
        <v>3.1</v>
      </c>
      <c r="M59" s="1" t="n">
        <v>1</v>
      </c>
      <c r="N59" s="1" t="n">
        <v>12.4</v>
      </c>
      <c r="O59" s="1" t="n">
        <v>7</v>
      </c>
      <c r="P59" s="25" t="n">
        <v>0.688</v>
      </c>
      <c r="Q59" s="1" t="n">
        <v>9</v>
      </c>
      <c r="R59" s="1" t="n">
        <v>68.1</v>
      </c>
      <c r="S59" s="1" t="n">
        <v>34</v>
      </c>
      <c r="T59" s="1" t="n">
        <v>0</v>
      </c>
      <c r="U59" s="1" t="n">
        <v>37</v>
      </c>
      <c r="V59" s="1" t="n">
        <v>0</v>
      </c>
      <c r="W59" s="1" t="n">
        <v>34.1</v>
      </c>
    </row>
    <row r="60" customFormat="false" ht="14.25" hidden="false" customHeight="false" outlineLevel="0" collapsed="false">
      <c r="A60" s="1" t="s">
        <v>134</v>
      </c>
      <c r="B60" s="1" t="n">
        <v>1</v>
      </c>
      <c r="C60" s="1" t="n">
        <v>-10.95</v>
      </c>
      <c r="D60" s="1" t="n">
        <v>0.496</v>
      </c>
      <c r="E60" s="1" t="n">
        <v>0.584</v>
      </c>
      <c r="F60" s="1" t="n">
        <v>111.1</v>
      </c>
      <c r="G60" s="1" t="n">
        <v>99.4</v>
      </c>
      <c r="H60" s="1" t="n">
        <v>11.88</v>
      </c>
      <c r="I60" s="1" t="n">
        <v>222</v>
      </c>
      <c r="J60" s="1" t="n">
        <v>0.853</v>
      </c>
      <c r="K60" s="1" t="n">
        <v>0</v>
      </c>
      <c r="L60" s="1" t="n">
        <v>10.5</v>
      </c>
      <c r="M60" s="1" t="n">
        <v>0</v>
      </c>
      <c r="N60" s="1" t="n">
        <v>11.3</v>
      </c>
      <c r="O60" s="1" t="n">
        <v>10</v>
      </c>
      <c r="P60" s="25" t="n">
        <v>0.668</v>
      </c>
      <c r="Q60" s="1" t="n">
        <v>13</v>
      </c>
      <c r="R60" s="1" t="n">
        <v>63.4</v>
      </c>
      <c r="S60" s="1" t="n">
        <v>34</v>
      </c>
      <c r="T60" s="1" t="n">
        <v>0</v>
      </c>
      <c r="U60" s="1" t="n">
        <v>33</v>
      </c>
      <c r="V60" s="1" t="n">
        <v>0</v>
      </c>
      <c r="W60" s="1" t="n">
        <v>32.2</v>
      </c>
    </row>
    <row r="61" customFormat="false" ht="14.25" hidden="false" customHeight="false" outlineLevel="0" collapsed="false">
      <c r="A61" s="1" t="s">
        <v>135</v>
      </c>
      <c r="B61" s="1" t="n">
        <v>13</v>
      </c>
      <c r="C61" s="1" t="n">
        <v>9.86</v>
      </c>
      <c r="D61" s="1" t="n">
        <v>0.497</v>
      </c>
      <c r="E61" s="1" t="n">
        <v>0.665</v>
      </c>
      <c r="F61" s="1" t="n">
        <v>122.4</v>
      </c>
      <c r="G61" s="1" t="n">
        <v>92.5</v>
      </c>
      <c r="H61" s="1" t="n">
        <v>30.78</v>
      </c>
      <c r="I61" s="1" t="n">
        <v>37</v>
      </c>
      <c r="J61" s="1" t="n">
        <v>0.911</v>
      </c>
      <c r="K61" s="1" t="n">
        <v>5</v>
      </c>
      <c r="L61" s="1" t="n">
        <v>14.9</v>
      </c>
      <c r="M61" s="1" t="n">
        <v>1</v>
      </c>
      <c r="N61" s="1" t="n">
        <v>11.2</v>
      </c>
      <c r="O61" s="1" t="n">
        <v>9</v>
      </c>
      <c r="P61" s="1" t="n">
        <v>0.674</v>
      </c>
      <c r="Q61" s="1" t="n">
        <v>1</v>
      </c>
      <c r="R61" s="1" t="n">
        <v>62.7</v>
      </c>
      <c r="S61" s="1" t="n">
        <v>34</v>
      </c>
      <c r="T61" s="1" t="n">
        <v>2</v>
      </c>
      <c r="U61" s="1" t="n">
        <v>1</v>
      </c>
      <c r="V61" s="1" t="n">
        <v>0</v>
      </c>
      <c r="W61" s="1" t="n">
        <v>35</v>
      </c>
    </row>
    <row r="62" customFormat="false" ht="15" hidden="false" customHeight="false" outlineLevel="0" collapsed="false">
      <c r="A62" s="5" t="s">
        <v>20</v>
      </c>
      <c r="B62" s="14" t="n">
        <v>6</v>
      </c>
      <c r="C62" s="14" t="n">
        <v>6.27</v>
      </c>
      <c r="D62" s="14" t="n">
        <v>0.529</v>
      </c>
      <c r="E62" s="14" t="n">
        <v>0.617</v>
      </c>
      <c r="F62" s="14" t="n">
        <v>112.2</v>
      </c>
      <c r="G62" s="14" t="n">
        <v>88</v>
      </c>
      <c r="H62" s="14" t="n">
        <v>26.67</v>
      </c>
      <c r="I62" s="14" t="n">
        <v>212</v>
      </c>
      <c r="J62" s="14" t="n">
        <v>0.853</v>
      </c>
      <c r="K62" s="14" t="n">
        <v>3</v>
      </c>
      <c r="L62" s="28" t="n">
        <v>11</v>
      </c>
      <c r="M62" s="14" t="n">
        <v>1</v>
      </c>
      <c r="N62" s="29" t="n">
        <v>9.5</v>
      </c>
      <c r="O62" s="14" t="n">
        <v>8</v>
      </c>
      <c r="P62" s="14" t="n">
        <v>0.689</v>
      </c>
      <c r="Q62" s="14" t="n">
        <v>5</v>
      </c>
      <c r="R62" s="14" t="n">
        <v>56.4</v>
      </c>
      <c r="S62" s="14" t="n">
        <v>32</v>
      </c>
      <c r="T62" s="28" t="n">
        <v>0</v>
      </c>
      <c r="U62" s="5" t="n">
        <v>24</v>
      </c>
      <c r="V62" s="5" t="n">
        <v>0</v>
      </c>
      <c r="W62" s="1" t="n">
        <v>32.5</v>
      </c>
    </row>
    <row r="63" customFormat="false" ht="14.25" hidden="false" customHeight="false" outlineLevel="0" collapsed="false">
      <c r="A63" s="1" t="s">
        <v>56</v>
      </c>
      <c r="B63" s="1" t="n">
        <v>5</v>
      </c>
      <c r="C63" s="1" t="n">
        <v>3.36</v>
      </c>
      <c r="D63" s="1" t="n">
        <v>0.49</v>
      </c>
      <c r="E63" s="1" t="n">
        <v>0.582</v>
      </c>
      <c r="F63" s="1" t="n">
        <v>117.3</v>
      </c>
      <c r="G63" s="1" t="n">
        <v>103.5</v>
      </c>
      <c r="H63" s="1" t="n">
        <v>14.94</v>
      </c>
      <c r="I63" s="1" t="n">
        <v>75</v>
      </c>
      <c r="J63" s="1" t="n">
        <v>0.688</v>
      </c>
      <c r="K63" s="1" t="n">
        <v>3</v>
      </c>
      <c r="L63" s="1" t="n">
        <v>4.8</v>
      </c>
      <c r="M63" s="1" t="n">
        <v>1</v>
      </c>
      <c r="N63" s="1" t="n">
        <v>12.1</v>
      </c>
      <c r="O63" s="1" t="n">
        <v>6</v>
      </c>
      <c r="P63" s="1" t="n">
        <v>0.606</v>
      </c>
      <c r="Q63" s="1" t="n">
        <v>9</v>
      </c>
      <c r="R63" s="1" t="n">
        <v>74.7</v>
      </c>
      <c r="S63" s="1" t="n">
        <v>32</v>
      </c>
      <c r="T63" s="1" t="n">
        <v>0</v>
      </c>
      <c r="U63" s="1" t="n">
        <v>34</v>
      </c>
      <c r="V63" s="1" t="n">
        <v>0</v>
      </c>
      <c r="W63" s="1" t="n">
        <v>33.5</v>
      </c>
    </row>
    <row r="64" customFormat="false" ht="14.25" hidden="false" customHeight="false" outlineLevel="0" collapsed="false">
      <c r="A64" s="1" t="s">
        <v>136</v>
      </c>
      <c r="B64" s="1" t="n">
        <v>1</v>
      </c>
      <c r="C64" s="1" t="n">
        <v>8.14</v>
      </c>
      <c r="D64" s="1" t="n">
        <v>0.472</v>
      </c>
      <c r="E64" s="1" t="n">
        <v>0.588</v>
      </c>
      <c r="F64" s="1" t="n">
        <v>120.9</v>
      </c>
      <c r="G64" s="1" t="n">
        <v>104.7</v>
      </c>
      <c r="H64" s="1" t="n">
        <v>17.28</v>
      </c>
      <c r="I64" s="1" t="n">
        <v>21</v>
      </c>
      <c r="J64" s="1" t="n">
        <v>0.594</v>
      </c>
      <c r="K64" s="1" t="n">
        <v>0</v>
      </c>
      <c r="L64" s="1" t="n">
        <v>4.8</v>
      </c>
      <c r="M64" s="1" t="n">
        <v>1</v>
      </c>
      <c r="N64" s="1" t="n">
        <v>11.8</v>
      </c>
      <c r="O64" s="1" t="n">
        <v>6</v>
      </c>
      <c r="P64" s="1" t="n">
        <v>0.497</v>
      </c>
      <c r="Q64" s="25" t="n">
        <v>11</v>
      </c>
      <c r="R64" s="1" t="n">
        <v>78.4</v>
      </c>
      <c r="S64" s="1" t="n">
        <v>32</v>
      </c>
      <c r="T64" s="1" t="n">
        <v>0</v>
      </c>
      <c r="U64" s="1" t="n">
        <v>37</v>
      </c>
      <c r="V64" s="1" t="n">
        <v>0</v>
      </c>
      <c r="W64" s="1" t="n">
        <v>35.9</v>
      </c>
    </row>
    <row r="65" customFormat="false" ht="14.25" hidden="false" customHeight="false" outlineLevel="0" collapsed="false">
      <c r="A65" s="1" t="s">
        <v>58</v>
      </c>
      <c r="B65" s="1" t="n">
        <v>22</v>
      </c>
      <c r="C65" s="1" t="n">
        <v>6.88</v>
      </c>
      <c r="D65" s="1" t="n">
        <v>0.458</v>
      </c>
      <c r="E65" s="1" t="n">
        <v>0.605</v>
      </c>
      <c r="F65" s="1" t="n">
        <v>116.5</v>
      </c>
      <c r="G65" s="1" t="n">
        <v>89.4</v>
      </c>
      <c r="H65" s="1" t="n">
        <v>26.8</v>
      </c>
      <c r="I65" s="1" t="n">
        <v>72</v>
      </c>
      <c r="J65" s="1" t="n">
        <v>0.764</v>
      </c>
      <c r="K65" s="1" t="n">
        <v>7</v>
      </c>
      <c r="L65" s="1" t="n">
        <v>15.6</v>
      </c>
      <c r="M65" s="1" t="n">
        <v>1</v>
      </c>
      <c r="N65" s="1" t="n">
        <v>12.3</v>
      </c>
      <c r="O65" s="1" t="n">
        <v>7</v>
      </c>
      <c r="P65" s="1" t="n">
        <v>0.71</v>
      </c>
      <c r="Q65" s="1" t="n">
        <v>4</v>
      </c>
      <c r="R65" s="1" t="n">
        <v>66.7</v>
      </c>
      <c r="S65" s="1" t="n">
        <v>34</v>
      </c>
      <c r="T65" s="1" t="n">
        <v>2</v>
      </c>
      <c r="U65" s="1" t="n">
        <v>13</v>
      </c>
      <c r="V65" s="1" t="n">
        <v>0</v>
      </c>
      <c r="W65" s="1" t="n">
        <v>38.3</v>
      </c>
    </row>
    <row r="66" customFormat="false" ht="14.25" hidden="false" customHeight="false" outlineLevel="0" collapsed="false">
      <c r="A66" s="25" t="s">
        <v>60</v>
      </c>
      <c r="B66" s="1" t="n">
        <v>12</v>
      </c>
      <c r="C66" s="1" t="n">
        <v>5.77</v>
      </c>
      <c r="D66" s="1" t="n">
        <v>0.472</v>
      </c>
      <c r="E66" s="1" t="n">
        <v>0.598</v>
      </c>
      <c r="F66" s="1" t="n">
        <v>118.7</v>
      </c>
      <c r="G66" s="1" t="n">
        <v>92.6</v>
      </c>
      <c r="H66" s="1" t="n">
        <v>26.41</v>
      </c>
      <c r="I66" s="1" t="n">
        <v>186</v>
      </c>
      <c r="J66" s="1" t="n">
        <v>0.882</v>
      </c>
      <c r="K66" s="1" t="n">
        <v>2</v>
      </c>
      <c r="L66" s="1" t="n">
        <v>19.3</v>
      </c>
      <c r="M66" s="1" t="n">
        <v>0</v>
      </c>
      <c r="N66" s="1" t="n">
        <v>11.1</v>
      </c>
      <c r="O66" s="1" t="n">
        <v>10</v>
      </c>
      <c r="P66" s="1" t="n">
        <v>0.725</v>
      </c>
      <c r="Q66" s="1" t="n">
        <v>10</v>
      </c>
      <c r="R66" s="1" t="n">
        <v>62.5</v>
      </c>
      <c r="S66" s="1" t="n">
        <v>34</v>
      </c>
      <c r="T66" s="1" t="n">
        <v>1</v>
      </c>
      <c r="U66" s="1" t="n">
        <v>19</v>
      </c>
      <c r="V66" s="1" t="n">
        <v>0</v>
      </c>
      <c r="W66" s="1" t="n">
        <v>40.8</v>
      </c>
    </row>
    <row r="67" customFormat="false" ht="14.25" hidden="false" customHeight="false" outlineLevel="0" collapsed="false">
      <c r="A67" s="25" t="s">
        <v>137</v>
      </c>
      <c r="B67" s="1" t="n">
        <v>0</v>
      </c>
      <c r="C67" s="1" t="n">
        <v>-8.21</v>
      </c>
      <c r="D67" s="1" t="n">
        <v>0.473</v>
      </c>
      <c r="E67" s="1" t="n">
        <v>0.556</v>
      </c>
      <c r="F67" s="1" t="n">
        <v>106.1</v>
      </c>
      <c r="G67" s="1" t="n">
        <v>101.6</v>
      </c>
      <c r="H67" s="1" t="n">
        <v>4.63</v>
      </c>
      <c r="I67" s="1" t="n">
        <v>267</v>
      </c>
      <c r="J67" s="1" t="n">
        <v>0.813</v>
      </c>
      <c r="K67" s="1" t="n">
        <v>0</v>
      </c>
      <c r="L67" s="1" t="n">
        <v>8.1</v>
      </c>
      <c r="M67" s="1" t="n">
        <v>0</v>
      </c>
      <c r="N67" s="1" t="n">
        <v>13.2</v>
      </c>
      <c r="O67" s="1" t="n">
        <v>9</v>
      </c>
      <c r="P67" s="1" t="n">
        <v>0.634</v>
      </c>
      <c r="Q67" s="1" t="n">
        <v>13</v>
      </c>
      <c r="R67" s="1" t="n">
        <v>71.4</v>
      </c>
      <c r="S67" s="1" t="n">
        <v>32</v>
      </c>
      <c r="T67" s="1" t="n">
        <v>0</v>
      </c>
      <c r="U67" s="1" t="n">
        <v>37</v>
      </c>
      <c r="V67" s="1" t="n">
        <v>0</v>
      </c>
      <c r="W67" s="1" t="n">
        <v>35.3</v>
      </c>
    </row>
    <row r="68" customFormat="false" ht="14.25" hidden="false" customHeight="false" outlineLevel="0" collapsed="false">
      <c r="A68" s="25" t="s">
        <v>138</v>
      </c>
      <c r="B68" s="1" t="n">
        <v>1</v>
      </c>
      <c r="C68" s="1" t="n">
        <v>8.35</v>
      </c>
      <c r="D68" s="1" t="n">
        <v>0.452</v>
      </c>
      <c r="E68" s="1" t="n">
        <v>0.597</v>
      </c>
      <c r="F68" s="1" t="n">
        <v>115.1</v>
      </c>
      <c r="G68" s="1" t="n">
        <v>92.1</v>
      </c>
      <c r="H68" s="1" t="n">
        <v>22.29</v>
      </c>
      <c r="I68" s="1" t="n">
        <v>83</v>
      </c>
      <c r="J68" s="1" t="n">
        <v>0.735</v>
      </c>
      <c r="K68" s="1" t="n">
        <v>1</v>
      </c>
      <c r="L68" s="1" t="n">
        <v>10.5</v>
      </c>
      <c r="M68" s="1" t="n">
        <v>1</v>
      </c>
      <c r="N68" s="1" t="n">
        <v>11</v>
      </c>
      <c r="O68" s="1" t="n">
        <v>4</v>
      </c>
      <c r="P68" s="1" t="n">
        <v>0.7</v>
      </c>
      <c r="Q68" s="1" t="n">
        <v>8</v>
      </c>
      <c r="R68" s="1" t="n">
        <v>62.4</v>
      </c>
      <c r="S68" s="1" t="n">
        <v>34</v>
      </c>
      <c r="T68" s="1" t="n">
        <v>0</v>
      </c>
      <c r="U68" s="1" t="n">
        <v>25</v>
      </c>
      <c r="V68" s="1" t="n">
        <v>0</v>
      </c>
      <c r="W68" s="1" t="n">
        <v>31.1</v>
      </c>
    </row>
    <row r="69" customFormat="false" ht="15" hidden="false" customHeight="false" outlineLevel="0" collapsed="false">
      <c r="A69" s="1" t="s">
        <v>36</v>
      </c>
      <c r="B69" s="1" t="n">
        <v>6</v>
      </c>
      <c r="C69" s="1" t="n">
        <v>5.32</v>
      </c>
      <c r="D69" s="1" t="n">
        <v>0.454</v>
      </c>
      <c r="E69" s="1" t="n">
        <v>0.593</v>
      </c>
      <c r="F69" s="1" t="n">
        <v>115.7</v>
      </c>
      <c r="G69" s="1" t="n">
        <v>99</v>
      </c>
      <c r="H69" s="1" t="n">
        <v>15.32</v>
      </c>
      <c r="I69" s="1" t="n">
        <v>16</v>
      </c>
      <c r="J69" s="12" t="n">
        <v>0.618</v>
      </c>
      <c r="K69" s="1" t="n">
        <v>3</v>
      </c>
      <c r="L69" s="1" t="n">
        <v>3.3</v>
      </c>
      <c r="M69" s="1" t="n">
        <v>1</v>
      </c>
      <c r="N69" s="1" t="n">
        <v>12.8</v>
      </c>
      <c r="O69" s="1" t="n">
        <v>3</v>
      </c>
      <c r="P69" s="1" t="n">
        <v>0.671</v>
      </c>
      <c r="Q69" s="1" t="n">
        <v>11</v>
      </c>
      <c r="R69" s="1" t="n">
        <v>71.3</v>
      </c>
      <c r="S69" s="1" t="n">
        <v>34</v>
      </c>
      <c r="T69" s="1" t="n">
        <v>0</v>
      </c>
      <c r="U69" s="1" t="n">
        <v>37</v>
      </c>
      <c r="V69" s="1" t="n">
        <v>0</v>
      </c>
      <c r="W69" s="1" t="n">
        <v>38.2</v>
      </c>
    </row>
    <row r="70" customFormat="false" ht="12.8" hidden="false" customHeight="false" outlineLevel="0" collapsed="false">
      <c r="A70" s="22"/>
    </row>
    <row r="71" customFormat="false" ht="12.75" hidden="false" customHeight="true" outlineLevel="0" collapsed="false">
      <c r="A71" s="22"/>
    </row>
    <row r="72" customFormat="false" ht="13.8" hidden="false" customHeight="false" outlineLevel="0" collapsed="false">
      <c r="A72" s="1"/>
    </row>
    <row r="73" customFormat="false" ht="13.8" hidden="false" customHeight="false" outlineLevel="0" collapsed="false">
      <c r="A73" s="25"/>
    </row>
    <row r="74" customFormat="false" ht="13.8" hidden="false" customHeight="false" outlineLevel="0" collapsed="false">
      <c r="A74" s="25"/>
    </row>
    <row r="75" customFormat="false" ht="13.8" hidden="false" customHeight="false" outlineLevel="0" collapsed="false">
      <c r="A75" s="25"/>
    </row>
    <row r="76" customFormat="false" ht="13.8" hidden="false" customHeight="false" outlineLevel="0" collapsed="false">
      <c r="A76" s="25"/>
    </row>
    <row r="77" customFormat="false" ht="13.8" hidden="false" customHeight="false" outlineLevel="0" collapsed="false">
      <c r="A77" s="25"/>
    </row>
    <row r="78" customFormat="false" ht="13.8" hidden="false" customHeight="false" outlineLevel="0" collapsed="false">
      <c r="A78" s="25"/>
    </row>
    <row r="79" customFormat="false" ht="13.8" hidden="false" customHeight="false" outlineLevel="0" collapsed="false">
      <c r="A79" s="25"/>
    </row>
    <row r="80" customFormat="false" ht="13.8" hidden="false" customHeight="false" outlineLevel="0" collapsed="false">
      <c r="A80" s="25"/>
    </row>
    <row r="81" customFormat="false" ht="13.8" hidden="false" customHeight="false" outlineLevel="0" collapsed="false">
      <c r="A81" s="25"/>
    </row>
    <row r="82" customFormat="false" ht="13.8" hidden="false" customHeight="false" outlineLevel="0" collapsed="false">
      <c r="A82" s="1"/>
    </row>
    <row r="83" customFormat="false" ht="13.8" hidden="false" customHeight="false" outlineLevel="0" collapsed="false">
      <c r="A83" s="1"/>
    </row>
    <row r="84" customFormat="false" ht="13.8" hidden="false" customHeight="false" outlineLevel="0" collapsed="false">
      <c r="A84" s="1"/>
    </row>
    <row r="85" customFormat="false" ht="13.8" hidden="false" customHeight="false" outlineLevel="0" collapsed="false">
      <c r="A85" s="1"/>
    </row>
    <row r="86" customFormat="false" ht="13.8" hidden="false" customHeight="false" outlineLevel="0" collapsed="false">
      <c r="A86" s="1"/>
    </row>
    <row r="87" customFormat="false" ht="13.8" hidden="false" customHeight="false" outlineLevel="0" collapsed="false">
      <c r="A87" s="1"/>
    </row>
    <row r="88" customFormat="false" ht="13.8" hidden="false" customHeight="false" outlineLevel="0" collapsed="false">
      <c r="A88" s="1"/>
    </row>
    <row r="89" customFormat="false" ht="13.8" hidden="false" customHeight="false" outlineLevel="0" collapsed="false">
      <c r="A89" s="1"/>
    </row>
    <row r="90" customFormat="false" ht="13.8" hidden="false" customHeight="false" outlineLevel="0" collapsed="false">
      <c r="A90" s="1"/>
    </row>
    <row r="91" customFormat="false" ht="13.8" hidden="false" customHeight="false" outlineLevel="0" collapsed="false">
      <c r="A91" s="1"/>
    </row>
    <row r="92" customFormat="false" ht="13.8" hidden="false" customHeight="false" outlineLevel="0" collapsed="false">
      <c r="A92" s="1"/>
    </row>
    <row r="93" customFormat="false" ht="13.8" hidden="false" customHeight="false" outlineLevel="0" collapsed="false">
      <c r="A93" s="25"/>
    </row>
    <row r="94" customFormat="false" ht="13.8" hidden="false" customHeight="false" outlineLevel="0" collapsed="false">
      <c r="A94" s="25"/>
    </row>
    <row r="95" customFormat="false" ht="13.8" hidden="false" customHeight="false" outlineLevel="0" collapsed="false">
      <c r="A95" s="1"/>
    </row>
    <row r="96" customFormat="false" ht="13.8" hidden="false" customHeight="false" outlineLevel="0" collapsed="false">
      <c r="A96" s="25"/>
    </row>
    <row r="97" customFormat="false" ht="13.8" hidden="false" customHeight="false" outlineLevel="0" collapsed="false">
      <c r="A97" s="1"/>
    </row>
    <row r="98" customFormat="false" ht="13.8" hidden="false" customHeight="false" outlineLevel="0" collapsed="false">
      <c r="A98" s="1"/>
    </row>
    <row r="99" customFormat="false" ht="13.8" hidden="false" customHeight="false" outlineLevel="0" collapsed="false">
      <c r="A99" s="1"/>
    </row>
    <row r="100" customFormat="false" ht="13.8" hidden="false" customHeight="false" outlineLevel="0" collapsed="false">
      <c r="A100" s="1"/>
    </row>
    <row r="101" customFormat="false" ht="13.8" hidden="false" customHeight="false" outlineLevel="0" collapsed="false">
      <c r="A101" s="1"/>
    </row>
    <row r="102" customFormat="false" ht="13.8" hidden="false" customHeight="false" outlineLevel="0" collapsed="false">
      <c r="A102" s="1"/>
    </row>
    <row r="103" customFormat="false" ht="13.8" hidden="false" customHeight="false" outlineLevel="0" collapsed="false">
      <c r="A103" s="1"/>
    </row>
    <row r="104" customFormat="false" ht="13.8" hidden="false" customHeight="false" outlineLevel="0" collapsed="false">
      <c r="A104" s="1"/>
    </row>
    <row r="105" customFormat="false" ht="13.8" hidden="false" customHeight="false" outlineLevel="0" collapsed="false">
      <c r="A105" s="25"/>
    </row>
    <row r="106" customFormat="false" ht="13.8" hidden="false" customHeight="false" outlineLevel="0" collapsed="false">
      <c r="A106" s="25"/>
    </row>
    <row r="107" customFormat="false" ht="13.8" hidden="false" customHeight="false" outlineLevel="0" collapsed="false">
      <c r="A107" s="25"/>
    </row>
    <row r="108" customFormat="false" ht="13.8" hidden="false" customHeight="false" outlineLevel="0" collapsed="false">
      <c r="A108" s="25"/>
    </row>
    <row r="109" customFormat="false" ht="13.8" hidden="false" customHeight="false" outlineLevel="0" collapsed="false">
      <c r="A109" s="25"/>
    </row>
    <row r="110" customFormat="false" ht="13.8" hidden="false" customHeight="false" outlineLevel="0" collapsed="false">
      <c r="A110" s="25"/>
    </row>
    <row r="111" customFormat="false" ht="13.8" hidden="false" customHeight="false" outlineLevel="0" collapsed="false">
      <c r="A111" s="25"/>
    </row>
    <row r="112" customFormat="false" ht="13.8" hidden="false" customHeight="false" outlineLevel="0" collapsed="false">
      <c r="A112" s="25"/>
    </row>
    <row r="113" customFormat="false" ht="13.8" hidden="false" customHeight="false" outlineLevel="0" collapsed="false">
      <c r="A113" s="25"/>
    </row>
    <row r="114" customFormat="false" ht="13.8" hidden="false" customHeight="false" outlineLevel="0" collapsed="false">
      <c r="A114" s="25"/>
    </row>
    <row r="115" customFormat="false" ht="13.8" hidden="false" customHeight="false" outlineLevel="0" collapsed="false">
      <c r="A115" s="25"/>
    </row>
    <row r="116" customFormat="false" ht="13.8" hidden="false" customHeight="false" outlineLevel="0" collapsed="false">
      <c r="A116" s="1"/>
    </row>
    <row r="117" customFormat="false" ht="13.8" hidden="false" customHeight="false" outlineLevel="0" collapsed="false">
      <c r="A117" s="1"/>
    </row>
    <row r="118" customFormat="false" ht="13.8" hidden="false" customHeight="false" outlineLevel="0" collapsed="false">
      <c r="A118" s="25"/>
    </row>
    <row r="119" customFormat="false" ht="13.8" hidden="false" customHeight="false" outlineLevel="0" collapsed="false">
      <c r="A119" s="1"/>
    </row>
    <row r="120" customFormat="false" ht="13.8" hidden="false" customHeight="false" outlineLevel="0" collapsed="false">
      <c r="A120" s="25"/>
    </row>
    <row r="121" customFormat="false" ht="13.8" hidden="false" customHeight="false" outlineLevel="0" collapsed="false">
      <c r="A121" s="25"/>
    </row>
    <row r="122" customFormat="false" ht="13.8" hidden="false" customHeight="false" outlineLevel="0" collapsed="false">
      <c r="A122" s="25"/>
    </row>
    <row r="123" customFormat="false" ht="13.8" hidden="false" customHeight="false" outlineLevel="0" collapsed="false">
      <c r="A123" s="25"/>
    </row>
    <row r="124" customFormat="false" ht="13.8" hidden="false" customHeight="false" outlineLevel="0" collapsed="false">
      <c r="A124" s="1"/>
    </row>
    <row r="125" customFormat="false" ht="13.8" hidden="false" customHeight="false" outlineLevel="0" collapsed="false">
      <c r="A125" s="1"/>
    </row>
    <row r="126" customFormat="false" ht="13.8" hidden="false" customHeight="false" outlineLevel="0" collapsed="false">
      <c r="A126" s="25"/>
    </row>
    <row r="127" customFormat="false" ht="13.8" hidden="false" customHeight="false" outlineLevel="0" collapsed="false">
      <c r="A127" s="1"/>
    </row>
    <row r="128" customFormat="false" ht="13.8" hidden="false" customHeight="false" outlineLevel="0" collapsed="false">
      <c r="A128" s="1"/>
    </row>
    <row r="129" customFormat="false" ht="13.8" hidden="false" customHeight="false" outlineLevel="0" collapsed="false">
      <c r="A129" s="1"/>
    </row>
    <row r="130" customFormat="false" ht="13.8" hidden="false" customHeight="false" outlineLevel="0" collapsed="false">
      <c r="A130" s="1"/>
    </row>
    <row r="131" customFormat="false" ht="13.8" hidden="false" customHeight="false" outlineLevel="0" collapsed="false">
      <c r="A131" s="1"/>
    </row>
    <row r="132" customFormat="false" ht="13.8" hidden="false" customHeight="false" outlineLevel="0" collapsed="false">
      <c r="A132" s="5"/>
    </row>
    <row r="133" customFormat="false" ht="13.8" hidden="false" customHeight="false" outlineLevel="0" collapsed="false">
      <c r="A133" s="1"/>
    </row>
    <row r="134" customFormat="false" ht="13.8" hidden="false" customHeight="false" outlineLevel="0" collapsed="false">
      <c r="A134" s="1"/>
    </row>
    <row r="135" customFormat="false" ht="13.8" hidden="false" customHeight="false" outlineLevel="0" collapsed="false">
      <c r="A135" s="1"/>
    </row>
    <row r="136" customFormat="false" ht="13.8" hidden="false" customHeight="false" outlineLevel="0" collapsed="false">
      <c r="A136" s="25"/>
    </row>
    <row r="137" customFormat="false" ht="13.8" hidden="false" customHeight="false" outlineLevel="0" collapsed="false">
      <c r="A137" s="25"/>
    </row>
    <row r="138" customFormat="false" ht="13.8" hidden="false" customHeight="false" outlineLevel="0" collapsed="false">
      <c r="A138" s="25"/>
    </row>
    <row r="139" customFormat="false" ht="13.8" hidden="false" customHeight="false" outlineLevel="0" collapsed="false">
      <c r="A139" s="1"/>
    </row>
    <row r="140" customFormat="false" ht="12.8" hidden="false" customHeight="false" outlineLevel="0" collapsed="false">
      <c r="A140" s="22"/>
    </row>
    <row r="141" customFormat="false" ht="12.75" hidden="false" customHeight="true" outlineLevel="0" collapsed="false">
      <c r="A141" s="22"/>
    </row>
    <row r="142" customFormat="false" ht="13.8" hidden="false" customHeight="false" outlineLevel="0" collapsed="false">
      <c r="A142" s="1"/>
    </row>
    <row r="143" customFormat="false" ht="13.8" hidden="false" customHeight="false" outlineLevel="0" collapsed="false">
      <c r="A143" s="25"/>
    </row>
    <row r="144" customFormat="false" ht="13.8" hidden="false" customHeight="false" outlineLevel="0" collapsed="false">
      <c r="A144" s="25"/>
    </row>
    <row r="145" customFormat="false" ht="13.8" hidden="false" customHeight="false" outlineLevel="0" collapsed="false">
      <c r="A145" s="25"/>
    </row>
    <row r="146" customFormat="false" ht="13.8" hidden="false" customHeight="false" outlineLevel="0" collapsed="false">
      <c r="A146" s="25"/>
    </row>
    <row r="147" customFormat="false" ht="13.8" hidden="false" customHeight="false" outlineLevel="0" collapsed="false">
      <c r="A147" s="25"/>
    </row>
    <row r="148" customFormat="false" ht="13.8" hidden="false" customHeight="false" outlineLevel="0" collapsed="false">
      <c r="A148" s="25"/>
    </row>
    <row r="149" customFormat="false" ht="13.8" hidden="false" customHeight="false" outlineLevel="0" collapsed="false">
      <c r="A149" s="25"/>
    </row>
    <row r="150" customFormat="false" ht="13.8" hidden="false" customHeight="false" outlineLevel="0" collapsed="false">
      <c r="A150" s="25"/>
    </row>
    <row r="151" customFormat="false" ht="13.8" hidden="false" customHeight="false" outlineLevel="0" collapsed="false">
      <c r="A151" s="25"/>
    </row>
    <row r="152" customFormat="false" ht="13.8" hidden="false" customHeight="false" outlineLevel="0" collapsed="false">
      <c r="A152" s="1"/>
    </row>
    <row r="153" customFormat="false" ht="13.8" hidden="false" customHeight="false" outlineLevel="0" collapsed="false">
      <c r="A153" s="1"/>
    </row>
    <row r="154" customFormat="false" ht="13.8" hidden="false" customHeight="false" outlineLevel="0" collapsed="false">
      <c r="A154" s="1"/>
    </row>
    <row r="155" customFormat="false" ht="13.8" hidden="false" customHeight="false" outlineLevel="0" collapsed="false">
      <c r="A155" s="1"/>
    </row>
    <row r="156" customFormat="false" ht="13.8" hidden="false" customHeight="false" outlineLevel="0" collapsed="false">
      <c r="A156" s="1"/>
    </row>
    <row r="157" customFormat="false" ht="13.8" hidden="false" customHeight="false" outlineLevel="0" collapsed="false">
      <c r="A157" s="1"/>
    </row>
    <row r="158" customFormat="false" ht="13.8" hidden="false" customHeight="false" outlineLevel="0" collapsed="false">
      <c r="A158" s="1"/>
    </row>
    <row r="159" customFormat="false" ht="13.8" hidden="false" customHeight="false" outlineLevel="0" collapsed="false">
      <c r="A159" s="1"/>
    </row>
    <row r="160" customFormat="false" ht="13.8" hidden="false" customHeight="false" outlineLevel="0" collapsed="false">
      <c r="A160" s="1"/>
    </row>
    <row r="161" customFormat="false" ht="13.8" hidden="false" customHeight="false" outlineLevel="0" collapsed="false">
      <c r="A161" s="1"/>
    </row>
    <row r="162" customFormat="false" ht="13.8" hidden="false" customHeight="false" outlineLevel="0" collapsed="false">
      <c r="A162" s="1"/>
    </row>
    <row r="163" customFormat="false" ht="13.8" hidden="false" customHeight="false" outlineLevel="0" collapsed="false">
      <c r="A163" s="25"/>
    </row>
    <row r="164" customFormat="false" ht="13.8" hidden="false" customHeight="false" outlineLevel="0" collapsed="false">
      <c r="A164" s="25"/>
    </row>
    <row r="165" customFormat="false" ht="13.8" hidden="false" customHeight="false" outlineLevel="0" collapsed="false">
      <c r="A165" s="1"/>
    </row>
    <row r="166" customFormat="false" ht="13.8" hidden="false" customHeight="false" outlineLevel="0" collapsed="false">
      <c r="A166" s="25"/>
    </row>
    <row r="167" customFormat="false" ht="13.8" hidden="false" customHeight="false" outlineLevel="0" collapsed="false">
      <c r="A167" s="1"/>
    </row>
    <row r="168" customFormat="false" ht="13.8" hidden="false" customHeight="false" outlineLevel="0" collapsed="false">
      <c r="A168" s="1"/>
    </row>
    <row r="169" customFormat="false" ht="13.8" hidden="false" customHeight="false" outlineLevel="0" collapsed="false">
      <c r="A169" s="1"/>
    </row>
    <row r="170" customFormat="false" ht="13.8" hidden="false" customHeight="false" outlineLevel="0" collapsed="false">
      <c r="A170" s="1"/>
    </row>
    <row r="171" customFormat="false" ht="13.8" hidden="false" customHeight="false" outlineLevel="0" collapsed="false">
      <c r="A171" s="1"/>
    </row>
    <row r="172" customFormat="false" ht="13.8" hidden="false" customHeight="false" outlineLevel="0" collapsed="false">
      <c r="A172" s="1"/>
    </row>
    <row r="173" customFormat="false" ht="13.8" hidden="false" customHeight="false" outlineLevel="0" collapsed="false">
      <c r="A173" s="1"/>
    </row>
    <row r="174" customFormat="false" ht="13.8" hidden="false" customHeight="false" outlineLevel="0" collapsed="false">
      <c r="A174" s="1"/>
    </row>
    <row r="175" customFormat="false" ht="13.8" hidden="false" customHeight="false" outlineLevel="0" collapsed="false">
      <c r="A175" s="25"/>
    </row>
    <row r="176" customFormat="false" ht="13.8" hidden="false" customHeight="false" outlineLevel="0" collapsed="false">
      <c r="A176" s="25"/>
    </row>
    <row r="177" customFormat="false" ht="13.8" hidden="false" customHeight="false" outlineLevel="0" collapsed="false">
      <c r="A177" s="25"/>
    </row>
    <row r="178" customFormat="false" ht="13.8" hidden="false" customHeight="false" outlineLevel="0" collapsed="false">
      <c r="A178" s="25"/>
    </row>
    <row r="179" customFormat="false" ht="13.8" hidden="false" customHeight="false" outlineLevel="0" collapsed="false">
      <c r="A179" s="25"/>
    </row>
    <row r="180" customFormat="false" ht="13.8" hidden="false" customHeight="false" outlineLevel="0" collapsed="false">
      <c r="A180" s="25"/>
    </row>
    <row r="181" customFormat="false" ht="13.8" hidden="false" customHeight="false" outlineLevel="0" collapsed="false">
      <c r="A181" s="25"/>
    </row>
    <row r="182" customFormat="false" ht="13.8" hidden="false" customHeight="false" outlineLevel="0" collapsed="false">
      <c r="A182" s="25"/>
    </row>
    <row r="183" customFormat="false" ht="13.8" hidden="false" customHeight="false" outlineLevel="0" collapsed="false">
      <c r="A183" s="25"/>
    </row>
    <row r="184" customFormat="false" ht="13.8" hidden="false" customHeight="false" outlineLevel="0" collapsed="false">
      <c r="A184" s="25"/>
    </row>
    <row r="185" customFormat="false" ht="13.8" hidden="false" customHeight="false" outlineLevel="0" collapsed="false">
      <c r="A185" s="25"/>
    </row>
    <row r="186" customFormat="false" ht="13.8" hidden="false" customHeight="false" outlineLevel="0" collapsed="false">
      <c r="A186" s="1"/>
    </row>
    <row r="187" customFormat="false" ht="13.8" hidden="false" customHeight="false" outlineLevel="0" collapsed="false">
      <c r="A187" s="1"/>
    </row>
    <row r="188" customFormat="false" ht="13.8" hidden="false" customHeight="false" outlineLevel="0" collapsed="false">
      <c r="A188" s="25"/>
    </row>
    <row r="189" customFormat="false" ht="13.8" hidden="false" customHeight="false" outlineLevel="0" collapsed="false">
      <c r="A189" s="1"/>
    </row>
    <row r="190" customFormat="false" ht="13.8" hidden="false" customHeight="false" outlineLevel="0" collapsed="false">
      <c r="A190" s="25"/>
    </row>
    <row r="191" customFormat="false" ht="13.8" hidden="false" customHeight="false" outlineLevel="0" collapsed="false">
      <c r="A191" s="25"/>
    </row>
    <row r="192" customFormat="false" ht="13.8" hidden="false" customHeight="false" outlineLevel="0" collapsed="false">
      <c r="A192" s="25"/>
    </row>
    <row r="193" customFormat="false" ht="13.8" hidden="false" customHeight="false" outlineLevel="0" collapsed="false">
      <c r="A193" s="25"/>
    </row>
    <row r="194" customFormat="false" ht="13.8" hidden="false" customHeight="false" outlineLevel="0" collapsed="false">
      <c r="A194" s="1"/>
    </row>
    <row r="195" customFormat="false" ht="13.8" hidden="false" customHeight="false" outlineLevel="0" collapsed="false">
      <c r="A195" s="1"/>
    </row>
    <row r="196" customFormat="false" ht="13.8" hidden="false" customHeight="false" outlineLevel="0" collapsed="false">
      <c r="A196" s="25"/>
    </row>
    <row r="197" customFormat="false" ht="13.8" hidden="false" customHeight="false" outlineLevel="0" collapsed="false">
      <c r="A197" s="1"/>
    </row>
    <row r="198" customFormat="false" ht="13.8" hidden="false" customHeight="false" outlineLevel="0" collapsed="false">
      <c r="A198" s="1"/>
    </row>
    <row r="199" customFormat="false" ht="13.8" hidden="false" customHeight="false" outlineLevel="0" collapsed="false">
      <c r="A199" s="1"/>
    </row>
    <row r="200" customFormat="false" ht="13.8" hidden="false" customHeight="false" outlineLevel="0" collapsed="false">
      <c r="A200" s="1"/>
    </row>
    <row r="201" customFormat="false" ht="13.8" hidden="false" customHeight="false" outlineLevel="0" collapsed="false">
      <c r="A201" s="1"/>
    </row>
    <row r="202" customFormat="false" ht="13.8" hidden="false" customHeight="false" outlineLevel="0" collapsed="false">
      <c r="A202" s="5"/>
    </row>
    <row r="203" customFormat="false" ht="13.8" hidden="false" customHeight="false" outlineLevel="0" collapsed="false">
      <c r="A203" s="1"/>
    </row>
    <row r="204" customFormat="false" ht="13.8" hidden="false" customHeight="false" outlineLevel="0" collapsed="false">
      <c r="A204" s="1"/>
    </row>
    <row r="205" customFormat="false" ht="13.8" hidden="false" customHeight="false" outlineLevel="0" collapsed="false">
      <c r="A205" s="1"/>
    </row>
    <row r="206" customFormat="false" ht="13.8" hidden="false" customHeight="false" outlineLevel="0" collapsed="false">
      <c r="A206" s="25"/>
    </row>
    <row r="207" customFormat="false" ht="13.8" hidden="false" customHeight="false" outlineLevel="0" collapsed="false">
      <c r="A207" s="25"/>
    </row>
    <row r="208" customFormat="false" ht="13.8" hidden="false" customHeight="false" outlineLevel="0" collapsed="false">
      <c r="A208" s="25"/>
    </row>
    <row r="209" customFormat="false" ht="13.8" hidden="false" customHeight="false" outlineLevel="0" collapsed="false">
      <c r="A209" s="1"/>
    </row>
    <row r="210" customFormat="false" ht="12.8" hidden="false" customHeight="false" outlineLevel="0" collapsed="false">
      <c r="A210" s="22"/>
    </row>
    <row r="211" customFormat="false" ht="12.75" hidden="false" customHeight="true" outlineLevel="0" collapsed="false">
      <c r="A211" s="22"/>
    </row>
    <row r="212" customFormat="false" ht="13.8" hidden="false" customHeight="false" outlineLevel="0" collapsed="false">
      <c r="A212" s="1"/>
    </row>
    <row r="213" customFormat="false" ht="13.8" hidden="false" customHeight="false" outlineLevel="0" collapsed="false">
      <c r="A213" s="25"/>
    </row>
    <row r="214" customFormat="false" ht="13.8" hidden="false" customHeight="false" outlineLevel="0" collapsed="false">
      <c r="A214" s="25"/>
    </row>
    <row r="215" customFormat="false" ht="13.8" hidden="false" customHeight="false" outlineLevel="0" collapsed="false">
      <c r="A215" s="25"/>
    </row>
    <row r="216" customFormat="false" ht="13.8" hidden="false" customHeight="false" outlineLevel="0" collapsed="false">
      <c r="A216" s="25"/>
    </row>
    <row r="217" customFormat="false" ht="13.8" hidden="false" customHeight="false" outlineLevel="0" collapsed="false">
      <c r="A217" s="25"/>
    </row>
    <row r="218" customFormat="false" ht="13.8" hidden="false" customHeight="false" outlineLevel="0" collapsed="false">
      <c r="A218" s="25"/>
    </row>
    <row r="219" customFormat="false" ht="13.8" hidden="false" customHeight="false" outlineLevel="0" collapsed="false">
      <c r="A219" s="25"/>
    </row>
    <row r="220" customFormat="false" ht="13.8" hidden="false" customHeight="false" outlineLevel="0" collapsed="false">
      <c r="A220" s="25"/>
    </row>
    <row r="221" customFormat="false" ht="13.8" hidden="false" customHeight="false" outlineLevel="0" collapsed="false">
      <c r="A221" s="25"/>
    </row>
    <row r="222" customFormat="false" ht="13.8" hidden="false" customHeight="false" outlineLevel="0" collapsed="false">
      <c r="A222" s="1"/>
    </row>
    <row r="223" customFormat="false" ht="13.8" hidden="false" customHeight="false" outlineLevel="0" collapsed="false">
      <c r="A223" s="1"/>
    </row>
    <row r="224" customFormat="false" ht="13.8" hidden="false" customHeight="false" outlineLevel="0" collapsed="false">
      <c r="A224" s="1"/>
    </row>
    <row r="225" customFormat="false" ht="13.8" hidden="false" customHeight="false" outlineLevel="0" collapsed="false">
      <c r="A225" s="1"/>
    </row>
    <row r="226" customFormat="false" ht="13.8" hidden="false" customHeight="false" outlineLevel="0" collapsed="false">
      <c r="A226" s="1"/>
    </row>
    <row r="227" customFormat="false" ht="13.8" hidden="false" customHeight="false" outlineLevel="0" collapsed="false">
      <c r="A227" s="1"/>
    </row>
    <row r="228" customFormat="false" ht="13.8" hidden="false" customHeight="false" outlineLevel="0" collapsed="false">
      <c r="A228" s="1"/>
    </row>
    <row r="229" customFormat="false" ht="13.8" hidden="false" customHeight="false" outlineLevel="0" collapsed="false">
      <c r="A229" s="1"/>
    </row>
    <row r="230" customFormat="false" ht="13.8" hidden="false" customHeight="false" outlineLevel="0" collapsed="false">
      <c r="A230" s="1"/>
    </row>
    <row r="231" customFormat="false" ht="13.8" hidden="false" customHeight="false" outlineLevel="0" collapsed="false">
      <c r="A231" s="1"/>
    </row>
    <row r="232" customFormat="false" ht="13.8" hidden="false" customHeight="false" outlineLevel="0" collapsed="false">
      <c r="A232" s="1"/>
    </row>
    <row r="233" customFormat="false" ht="13.8" hidden="false" customHeight="false" outlineLevel="0" collapsed="false">
      <c r="A233" s="25"/>
    </row>
    <row r="234" customFormat="false" ht="13.8" hidden="false" customHeight="false" outlineLevel="0" collapsed="false">
      <c r="A234" s="25"/>
    </row>
    <row r="235" customFormat="false" ht="13.8" hidden="false" customHeight="false" outlineLevel="0" collapsed="false">
      <c r="A235" s="1"/>
    </row>
    <row r="236" customFormat="false" ht="13.8" hidden="false" customHeight="false" outlineLevel="0" collapsed="false">
      <c r="A236" s="25"/>
    </row>
    <row r="237" customFormat="false" ht="13.8" hidden="false" customHeight="false" outlineLevel="0" collapsed="false">
      <c r="A237" s="1"/>
    </row>
    <row r="238" customFormat="false" ht="13.8" hidden="false" customHeight="false" outlineLevel="0" collapsed="false">
      <c r="A238" s="1"/>
    </row>
    <row r="239" customFormat="false" ht="13.8" hidden="false" customHeight="false" outlineLevel="0" collapsed="false">
      <c r="A239" s="1"/>
    </row>
    <row r="240" customFormat="false" ht="13.8" hidden="false" customHeight="false" outlineLevel="0" collapsed="false">
      <c r="A240" s="1"/>
    </row>
    <row r="241" customFormat="false" ht="13.8" hidden="false" customHeight="false" outlineLevel="0" collapsed="false">
      <c r="A241" s="1"/>
    </row>
    <row r="242" customFormat="false" ht="13.8" hidden="false" customHeight="false" outlineLevel="0" collapsed="false">
      <c r="A242" s="1"/>
    </row>
    <row r="243" customFormat="false" ht="13.8" hidden="false" customHeight="false" outlineLevel="0" collapsed="false">
      <c r="A243" s="1"/>
    </row>
    <row r="244" customFormat="false" ht="13.8" hidden="false" customHeight="false" outlineLevel="0" collapsed="false">
      <c r="A244" s="1"/>
    </row>
    <row r="245" customFormat="false" ht="13.8" hidden="false" customHeight="false" outlineLevel="0" collapsed="false">
      <c r="A245" s="25"/>
    </row>
    <row r="246" customFormat="false" ht="13.8" hidden="false" customHeight="false" outlineLevel="0" collapsed="false">
      <c r="A246" s="25"/>
    </row>
    <row r="247" customFormat="false" ht="13.8" hidden="false" customHeight="false" outlineLevel="0" collapsed="false">
      <c r="A247" s="25"/>
    </row>
    <row r="248" customFormat="false" ht="13.8" hidden="false" customHeight="false" outlineLevel="0" collapsed="false">
      <c r="A248" s="25"/>
    </row>
    <row r="249" customFormat="false" ht="13.8" hidden="false" customHeight="false" outlineLevel="0" collapsed="false">
      <c r="A249" s="25"/>
    </row>
    <row r="250" customFormat="false" ht="13.8" hidden="false" customHeight="false" outlineLevel="0" collapsed="false">
      <c r="A250" s="25"/>
    </row>
    <row r="251" customFormat="false" ht="13.8" hidden="false" customHeight="false" outlineLevel="0" collapsed="false">
      <c r="A251" s="25"/>
    </row>
    <row r="252" customFormat="false" ht="13.8" hidden="false" customHeight="false" outlineLevel="0" collapsed="false">
      <c r="A252" s="25"/>
    </row>
    <row r="253" customFormat="false" ht="13.8" hidden="false" customHeight="false" outlineLevel="0" collapsed="false">
      <c r="A253" s="25"/>
    </row>
    <row r="254" customFormat="false" ht="13.8" hidden="false" customHeight="false" outlineLevel="0" collapsed="false">
      <c r="A254" s="25"/>
    </row>
    <row r="255" customFormat="false" ht="13.8" hidden="false" customHeight="false" outlineLevel="0" collapsed="false">
      <c r="A255" s="25"/>
    </row>
    <row r="256" customFormat="false" ht="13.8" hidden="false" customHeight="false" outlineLevel="0" collapsed="false">
      <c r="A256" s="1"/>
    </row>
    <row r="257" customFormat="false" ht="13.8" hidden="false" customHeight="false" outlineLevel="0" collapsed="false">
      <c r="A257" s="1"/>
    </row>
    <row r="258" customFormat="false" ht="13.8" hidden="false" customHeight="false" outlineLevel="0" collapsed="false">
      <c r="A258" s="25"/>
    </row>
    <row r="259" customFormat="false" ht="13.8" hidden="false" customHeight="false" outlineLevel="0" collapsed="false">
      <c r="A259" s="1"/>
    </row>
    <row r="260" customFormat="false" ht="13.8" hidden="false" customHeight="false" outlineLevel="0" collapsed="false">
      <c r="A260" s="25"/>
    </row>
    <row r="261" customFormat="false" ht="13.8" hidden="false" customHeight="false" outlineLevel="0" collapsed="false">
      <c r="A261" s="25"/>
    </row>
    <row r="262" customFormat="false" ht="13.8" hidden="false" customHeight="false" outlineLevel="0" collapsed="false">
      <c r="A262" s="25"/>
    </row>
    <row r="263" customFormat="false" ht="13.8" hidden="false" customHeight="false" outlineLevel="0" collapsed="false">
      <c r="A263" s="25"/>
    </row>
    <row r="264" customFormat="false" ht="13.8" hidden="false" customHeight="false" outlineLevel="0" collapsed="false">
      <c r="A264" s="1"/>
    </row>
    <row r="265" customFormat="false" ht="13.8" hidden="false" customHeight="false" outlineLevel="0" collapsed="false">
      <c r="A265" s="1"/>
    </row>
    <row r="266" customFormat="false" ht="13.8" hidden="false" customHeight="false" outlineLevel="0" collapsed="false">
      <c r="A266" s="25"/>
    </row>
    <row r="267" customFormat="false" ht="13.8" hidden="false" customHeight="false" outlineLevel="0" collapsed="false">
      <c r="A267" s="1"/>
    </row>
    <row r="268" customFormat="false" ht="13.8" hidden="false" customHeight="false" outlineLevel="0" collapsed="false">
      <c r="A268" s="1"/>
    </row>
    <row r="269" customFormat="false" ht="13.8" hidden="false" customHeight="false" outlineLevel="0" collapsed="false">
      <c r="A269" s="1"/>
    </row>
    <row r="270" customFormat="false" ht="13.8" hidden="false" customHeight="false" outlineLevel="0" collapsed="false">
      <c r="A270" s="1"/>
    </row>
    <row r="271" customFormat="false" ht="13.8" hidden="false" customHeight="false" outlineLevel="0" collapsed="false">
      <c r="A271" s="1"/>
    </row>
    <row r="272" customFormat="false" ht="13.8" hidden="false" customHeight="false" outlineLevel="0" collapsed="false">
      <c r="A272" s="5"/>
    </row>
    <row r="273" customFormat="false" ht="13.8" hidden="false" customHeight="false" outlineLevel="0" collapsed="false">
      <c r="A273" s="1"/>
    </row>
    <row r="274" customFormat="false" ht="13.8" hidden="false" customHeight="false" outlineLevel="0" collapsed="false">
      <c r="A274" s="1"/>
    </row>
    <row r="275" customFormat="false" ht="13.8" hidden="false" customHeight="false" outlineLevel="0" collapsed="false">
      <c r="A275" s="1"/>
    </row>
    <row r="276" customFormat="false" ht="13.8" hidden="false" customHeight="false" outlineLevel="0" collapsed="false">
      <c r="A276" s="25"/>
    </row>
    <row r="277" customFormat="false" ht="13.8" hidden="false" customHeight="false" outlineLevel="0" collapsed="false">
      <c r="A277" s="25"/>
    </row>
    <row r="278" customFormat="false" ht="13.8" hidden="false" customHeight="false" outlineLevel="0" collapsed="false">
      <c r="A278" s="25"/>
    </row>
    <row r="279" customFormat="false" ht="13.8" hidden="false" customHeight="false" outlineLevel="0" collapsed="false">
      <c r="A279" s="1"/>
    </row>
    <row r="280" customFormat="false" ht="12.8" hidden="false" customHeight="false" outlineLevel="0" collapsed="false">
      <c r="A280" s="22"/>
    </row>
    <row r="281" customFormat="false" ht="12.75" hidden="false" customHeight="true" outlineLevel="0" collapsed="false">
      <c r="A281" s="22"/>
    </row>
    <row r="282" customFormat="false" ht="13.8" hidden="false" customHeight="false" outlineLevel="0" collapsed="false">
      <c r="A282" s="1"/>
    </row>
    <row r="283" customFormat="false" ht="13.8" hidden="false" customHeight="false" outlineLevel="0" collapsed="false">
      <c r="A283" s="25"/>
    </row>
    <row r="284" customFormat="false" ht="13.8" hidden="false" customHeight="false" outlineLevel="0" collapsed="false">
      <c r="A284" s="25"/>
    </row>
    <row r="285" customFormat="false" ht="13.8" hidden="false" customHeight="false" outlineLevel="0" collapsed="false">
      <c r="A285" s="25"/>
    </row>
    <row r="286" customFormat="false" ht="13.8" hidden="false" customHeight="false" outlineLevel="0" collapsed="false">
      <c r="A286" s="25"/>
    </row>
    <row r="287" customFormat="false" ht="13.8" hidden="false" customHeight="false" outlineLevel="0" collapsed="false">
      <c r="A287" s="25"/>
    </row>
    <row r="288" customFormat="false" ht="13.8" hidden="false" customHeight="false" outlineLevel="0" collapsed="false">
      <c r="A288" s="25"/>
    </row>
    <row r="289" customFormat="false" ht="13.8" hidden="false" customHeight="false" outlineLevel="0" collapsed="false">
      <c r="A289" s="25"/>
    </row>
    <row r="290" customFormat="false" ht="13.8" hidden="false" customHeight="false" outlineLevel="0" collapsed="false">
      <c r="A290" s="25"/>
    </row>
    <row r="291" customFormat="false" ht="13.8" hidden="false" customHeight="false" outlineLevel="0" collapsed="false">
      <c r="A291" s="25"/>
    </row>
    <row r="292" customFormat="false" ht="13.8" hidden="false" customHeight="false" outlineLevel="0" collapsed="false">
      <c r="A292" s="1"/>
    </row>
    <row r="293" customFormat="false" ht="13.8" hidden="false" customHeight="false" outlineLevel="0" collapsed="false">
      <c r="A293" s="1"/>
    </row>
    <row r="294" customFormat="false" ht="13.8" hidden="false" customHeight="false" outlineLevel="0" collapsed="false">
      <c r="A294" s="1"/>
    </row>
    <row r="295" customFormat="false" ht="13.8" hidden="false" customHeight="false" outlineLevel="0" collapsed="false">
      <c r="A295" s="1"/>
    </row>
    <row r="296" customFormat="false" ht="13.8" hidden="false" customHeight="false" outlineLevel="0" collapsed="false">
      <c r="A296" s="1"/>
    </row>
    <row r="297" customFormat="false" ht="13.8" hidden="false" customHeight="false" outlineLevel="0" collapsed="false">
      <c r="A297" s="1"/>
    </row>
    <row r="298" customFormat="false" ht="13.8" hidden="false" customHeight="false" outlineLevel="0" collapsed="false">
      <c r="A298" s="1"/>
    </row>
    <row r="299" customFormat="false" ht="13.8" hidden="false" customHeight="false" outlineLevel="0" collapsed="false">
      <c r="A299" s="1"/>
    </row>
    <row r="300" customFormat="false" ht="13.8" hidden="false" customHeight="false" outlineLevel="0" collapsed="false">
      <c r="A300" s="1"/>
    </row>
    <row r="301" customFormat="false" ht="13.8" hidden="false" customHeight="false" outlineLevel="0" collapsed="false">
      <c r="A301" s="1"/>
    </row>
    <row r="302" customFormat="false" ht="13.8" hidden="false" customHeight="false" outlineLevel="0" collapsed="false">
      <c r="A302" s="1"/>
    </row>
    <row r="303" customFormat="false" ht="13.8" hidden="false" customHeight="false" outlineLevel="0" collapsed="false">
      <c r="A303" s="25"/>
    </row>
    <row r="304" customFormat="false" ht="13.8" hidden="false" customHeight="false" outlineLevel="0" collapsed="false">
      <c r="A304" s="25"/>
    </row>
    <row r="305" customFormat="false" ht="13.8" hidden="false" customHeight="false" outlineLevel="0" collapsed="false">
      <c r="A305" s="1"/>
    </row>
    <row r="306" customFormat="false" ht="13.8" hidden="false" customHeight="false" outlineLevel="0" collapsed="false">
      <c r="A306" s="25"/>
    </row>
    <row r="307" customFormat="false" ht="13.8" hidden="false" customHeight="false" outlineLevel="0" collapsed="false">
      <c r="A307" s="1"/>
    </row>
    <row r="308" customFormat="false" ht="13.8" hidden="false" customHeight="false" outlineLevel="0" collapsed="false">
      <c r="A308" s="1"/>
    </row>
    <row r="309" customFormat="false" ht="13.8" hidden="false" customHeight="false" outlineLevel="0" collapsed="false">
      <c r="A309" s="1"/>
    </row>
    <row r="310" customFormat="false" ht="13.8" hidden="false" customHeight="false" outlineLevel="0" collapsed="false">
      <c r="A310" s="1"/>
    </row>
    <row r="311" customFormat="false" ht="13.8" hidden="false" customHeight="false" outlineLevel="0" collapsed="false">
      <c r="A311" s="1"/>
    </row>
    <row r="312" customFormat="false" ht="13.8" hidden="false" customHeight="false" outlineLevel="0" collapsed="false">
      <c r="A312" s="1"/>
    </row>
    <row r="313" customFormat="false" ht="13.8" hidden="false" customHeight="false" outlineLevel="0" collapsed="false">
      <c r="A313" s="1"/>
    </row>
    <row r="314" customFormat="false" ht="13.8" hidden="false" customHeight="false" outlineLevel="0" collapsed="false">
      <c r="A314" s="1"/>
    </row>
    <row r="315" customFormat="false" ht="13.8" hidden="false" customHeight="false" outlineLevel="0" collapsed="false">
      <c r="A315" s="25"/>
    </row>
    <row r="316" customFormat="false" ht="13.8" hidden="false" customHeight="false" outlineLevel="0" collapsed="false">
      <c r="A316" s="25"/>
    </row>
    <row r="317" customFormat="false" ht="13.8" hidden="false" customHeight="false" outlineLevel="0" collapsed="false">
      <c r="A317" s="25"/>
    </row>
    <row r="318" customFormat="false" ht="13.8" hidden="false" customHeight="false" outlineLevel="0" collapsed="false">
      <c r="A318" s="25"/>
    </row>
    <row r="319" customFormat="false" ht="13.8" hidden="false" customHeight="false" outlineLevel="0" collapsed="false">
      <c r="A319" s="25"/>
    </row>
    <row r="320" customFormat="false" ht="13.8" hidden="false" customHeight="false" outlineLevel="0" collapsed="false">
      <c r="A320" s="25"/>
    </row>
    <row r="321" customFormat="false" ht="13.8" hidden="false" customHeight="false" outlineLevel="0" collapsed="false">
      <c r="A321" s="25"/>
    </row>
    <row r="322" customFormat="false" ht="13.8" hidden="false" customHeight="false" outlineLevel="0" collapsed="false">
      <c r="A322" s="25"/>
    </row>
    <row r="323" customFormat="false" ht="13.8" hidden="false" customHeight="false" outlineLevel="0" collapsed="false">
      <c r="A323" s="25"/>
    </row>
    <row r="324" customFormat="false" ht="13.8" hidden="false" customHeight="false" outlineLevel="0" collapsed="false">
      <c r="A324" s="25"/>
    </row>
    <row r="325" customFormat="false" ht="13.8" hidden="false" customHeight="false" outlineLevel="0" collapsed="false">
      <c r="A325" s="25"/>
    </row>
    <row r="326" customFormat="false" ht="13.8" hidden="false" customHeight="false" outlineLevel="0" collapsed="false">
      <c r="A326" s="1"/>
    </row>
    <row r="327" customFormat="false" ht="13.8" hidden="false" customHeight="false" outlineLevel="0" collapsed="false">
      <c r="A327" s="1"/>
    </row>
    <row r="328" customFormat="false" ht="13.8" hidden="false" customHeight="false" outlineLevel="0" collapsed="false">
      <c r="A328" s="25"/>
    </row>
    <row r="329" customFormat="false" ht="13.8" hidden="false" customHeight="false" outlineLevel="0" collapsed="false">
      <c r="A329" s="1"/>
    </row>
    <row r="330" customFormat="false" ht="13.8" hidden="false" customHeight="false" outlineLevel="0" collapsed="false">
      <c r="A330" s="25"/>
    </row>
    <row r="331" customFormat="false" ht="13.8" hidden="false" customHeight="false" outlineLevel="0" collapsed="false">
      <c r="A331" s="25"/>
    </row>
    <row r="332" customFormat="false" ht="13.8" hidden="false" customHeight="false" outlineLevel="0" collapsed="false">
      <c r="A332" s="25"/>
    </row>
    <row r="333" customFormat="false" ht="13.8" hidden="false" customHeight="false" outlineLevel="0" collapsed="false">
      <c r="A333" s="25"/>
    </row>
    <row r="334" customFormat="false" ht="13.8" hidden="false" customHeight="false" outlineLevel="0" collapsed="false">
      <c r="A334" s="1"/>
    </row>
    <row r="335" customFormat="false" ht="13.8" hidden="false" customHeight="false" outlineLevel="0" collapsed="false">
      <c r="A335" s="1"/>
    </row>
    <row r="336" customFormat="false" ht="13.8" hidden="false" customHeight="false" outlineLevel="0" collapsed="false">
      <c r="A336" s="25"/>
    </row>
    <row r="337" customFormat="false" ht="13.8" hidden="false" customHeight="false" outlineLevel="0" collapsed="false">
      <c r="A337" s="1"/>
    </row>
    <row r="338" customFormat="false" ht="13.8" hidden="false" customHeight="false" outlineLevel="0" collapsed="false">
      <c r="A338" s="1"/>
    </row>
    <row r="339" customFormat="false" ht="13.8" hidden="false" customHeight="false" outlineLevel="0" collapsed="false">
      <c r="A339" s="1"/>
    </row>
    <row r="340" customFormat="false" ht="13.8" hidden="false" customHeight="false" outlineLevel="0" collapsed="false">
      <c r="A340" s="1"/>
    </row>
    <row r="341" customFormat="false" ht="13.8" hidden="false" customHeight="false" outlineLevel="0" collapsed="false">
      <c r="A341" s="1"/>
    </row>
    <row r="342" customFormat="false" ht="13.8" hidden="false" customHeight="false" outlineLevel="0" collapsed="false">
      <c r="A342" s="5"/>
    </row>
    <row r="343" customFormat="false" ht="13.8" hidden="false" customHeight="false" outlineLevel="0" collapsed="false">
      <c r="A343" s="1"/>
    </row>
    <row r="344" customFormat="false" ht="13.8" hidden="false" customHeight="false" outlineLevel="0" collapsed="false">
      <c r="A344" s="1"/>
    </row>
    <row r="345" customFormat="false" ht="13.8" hidden="false" customHeight="false" outlineLevel="0" collapsed="false">
      <c r="A345" s="1"/>
    </row>
    <row r="346" customFormat="false" ht="13.8" hidden="false" customHeight="false" outlineLevel="0" collapsed="false">
      <c r="A346" s="25"/>
    </row>
    <row r="347" customFormat="false" ht="13.8" hidden="false" customHeight="false" outlineLevel="0" collapsed="false">
      <c r="A347" s="25"/>
    </row>
    <row r="348" customFormat="false" ht="13.8" hidden="false" customHeight="false" outlineLevel="0" collapsed="false">
      <c r="A348" s="25"/>
    </row>
    <row r="349" customFormat="false" ht="13.8" hidden="false" customHeight="false" outlineLevel="0" collapsed="false">
      <c r="A349" s="1"/>
    </row>
    <row r="350" customFormat="false" ht="12.8" hidden="false" customHeight="false" outlineLevel="0" collapsed="false">
      <c r="A350" s="22"/>
    </row>
    <row r="351" customFormat="false" ht="12.75" hidden="false" customHeight="true" outlineLevel="0" collapsed="false">
      <c r="A351" s="22"/>
    </row>
    <row r="352" customFormat="false" ht="13.8" hidden="false" customHeight="false" outlineLevel="0" collapsed="false">
      <c r="A352" s="1"/>
    </row>
    <row r="353" customFormat="false" ht="13.8" hidden="false" customHeight="false" outlineLevel="0" collapsed="false">
      <c r="A353" s="25"/>
    </row>
    <row r="354" customFormat="false" ht="13.8" hidden="false" customHeight="false" outlineLevel="0" collapsed="false">
      <c r="A354" s="25"/>
    </row>
    <row r="355" customFormat="false" ht="13.8" hidden="false" customHeight="false" outlineLevel="0" collapsed="false">
      <c r="A355" s="25"/>
    </row>
    <row r="356" customFormat="false" ht="13.8" hidden="false" customHeight="false" outlineLevel="0" collapsed="false">
      <c r="A356" s="25"/>
    </row>
    <row r="357" customFormat="false" ht="13.8" hidden="false" customHeight="false" outlineLevel="0" collapsed="false">
      <c r="A357" s="25"/>
    </row>
    <row r="358" customFormat="false" ht="13.8" hidden="false" customHeight="false" outlineLevel="0" collapsed="false">
      <c r="A358" s="25"/>
    </row>
    <row r="359" customFormat="false" ht="13.8" hidden="false" customHeight="false" outlineLevel="0" collapsed="false">
      <c r="A359" s="25"/>
    </row>
    <row r="360" customFormat="false" ht="13.8" hidden="false" customHeight="false" outlineLevel="0" collapsed="false">
      <c r="A360" s="25"/>
    </row>
    <row r="361" customFormat="false" ht="13.8" hidden="false" customHeight="false" outlineLevel="0" collapsed="false">
      <c r="A361" s="25"/>
    </row>
    <row r="362" customFormat="false" ht="13.8" hidden="false" customHeight="false" outlineLevel="0" collapsed="false">
      <c r="A362" s="1"/>
    </row>
    <row r="363" customFormat="false" ht="13.8" hidden="false" customHeight="false" outlineLevel="0" collapsed="false">
      <c r="A363" s="1"/>
    </row>
    <row r="364" customFormat="false" ht="13.8" hidden="false" customHeight="false" outlineLevel="0" collapsed="false">
      <c r="A364" s="1"/>
    </row>
    <row r="365" customFormat="false" ht="13.8" hidden="false" customHeight="false" outlineLevel="0" collapsed="false">
      <c r="A365" s="1"/>
    </row>
    <row r="366" customFormat="false" ht="13.8" hidden="false" customHeight="false" outlineLevel="0" collapsed="false">
      <c r="A366" s="1"/>
    </row>
    <row r="367" customFormat="false" ht="13.8" hidden="false" customHeight="false" outlineLevel="0" collapsed="false">
      <c r="A367" s="1"/>
    </row>
    <row r="368" customFormat="false" ht="13.8" hidden="false" customHeight="false" outlineLevel="0" collapsed="false">
      <c r="A368" s="1"/>
    </row>
    <row r="369" customFormat="false" ht="13.8" hidden="false" customHeight="false" outlineLevel="0" collapsed="false">
      <c r="A369" s="1"/>
    </row>
    <row r="370" customFormat="false" ht="13.8" hidden="false" customHeight="false" outlineLevel="0" collapsed="false">
      <c r="A370" s="1"/>
    </row>
    <row r="371" customFormat="false" ht="13.8" hidden="false" customHeight="false" outlineLevel="0" collapsed="false">
      <c r="A371" s="1"/>
    </row>
    <row r="372" customFormat="false" ht="13.8" hidden="false" customHeight="false" outlineLevel="0" collapsed="false">
      <c r="A372" s="1"/>
    </row>
    <row r="373" customFormat="false" ht="13.8" hidden="false" customHeight="false" outlineLevel="0" collapsed="false">
      <c r="A373" s="25"/>
    </row>
    <row r="374" customFormat="false" ht="13.8" hidden="false" customHeight="false" outlineLevel="0" collapsed="false">
      <c r="A374" s="25"/>
    </row>
    <row r="375" customFormat="false" ht="13.8" hidden="false" customHeight="false" outlineLevel="0" collapsed="false">
      <c r="A375" s="1"/>
    </row>
    <row r="376" customFormat="false" ht="13.8" hidden="false" customHeight="false" outlineLevel="0" collapsed="false">
      <c r="A376" s="25"/>
    </row>
    <row r="377" customFormat="false" ht="13.8" hidden="false" customHeight="false" outlineLevel="0" collapsed="false">
      <c r="A377" s="1"/>
    </row>
    <row r="378" customFormat="false" ht="13.8" hidden="false" customHeight="false" outlineLevel="0" collapsed="false">
      <c r="A378" s="1"/>
    </row>
    <row r="379" customFormat="false" ht="13.8" hidden="false" customHeight="false" outlineLevel="0" collapsed="false">
      <c r="A379" s="1"/>
    </row>
    <row r="380" customFormat="false" ht="13.8" hidden="false" customHeight="false" outlineLevel="0" collapsed="false">
      <c r="A380" s="1"/>
    </row>
    <row r="381" customFormat="false" ht="13.8" hidden="false" customHeight="false" outlineLevel="0" collapsed="false">
      <c r="A381" s="1"/>
    </row>
    <row r="382" customFormat="false" ht="13.8" hidden="false" customHeight="false" outlineLevel="0" collapsed="false">
      <c r="A382" s="1"/>
    </row>
    <row r="383" customFormat="false" ht="13.8" hidden="false" customHeight="false" outlineLevel="0" collapsed="false">
      <c r="A383" s="1"/>
    </row>
    <row r="384" customFormat="false" ht="13.8" hidden="false" customHeight="false" outlineLevel="0" collapsed="false">
      <c r="A384" s="1"/>
    </row>
    <row r="385" customFormat="false" ht="13.8" hidden="false" customHeight="false" outlineLevel="0" collapsed="false">
      <c r="A385" s="25"/>
    </row>
    <row r="386" customFormat="false" ht="13.8" hidden="false" customHeight="false" outlineLevel="0" collapsed="false">
      <c r="A386" s="25"/>
    </row>
    <row r="387" customFormat="false" ht="13.8" hidden="false" customHeight="false" outlineLevel="0" collapsed="false">
      <c r="A387" s="25"/>
    </row>
    <row r="388" customFormat="false" ht="13.8" hidden="false" customHeight="false" outlineLevel="0" collapsed="false">
      <c r="A388" s="25"/>
    </row>
    <row r="389" customFormat="false" ht="13.8" hidden="false" customHeight="false" outlineLevel="0" collapsed="false">
      <c r="A389" s="25"/>
    </row>
    <row r="390" customFormat="false" ht="13.8" hidden="false" customHeight="false" outlineLevel="0" collapsed="false">
      <c r="A390" s="25"/>
    </row>
    <row r="391" customFormat="false" ht="13.8" hidden="false" customHeight="false" outlineLevel="0" collapsed="false">
      <c r="A391" s="25"/>
    </row>
    <row r="392" customFormat="false" ht="13.8" hidden="false" customHeight="false" outlineLevel="0" collapsed="false">
      <c r="A392" s="25"/>
    </row>
    <row r="393" customFormat="false" ht="13.8" hidden="false" customHeight="false" outlineLevel="0" collapsed="false">
      <c r="A393" s="25"/>
    </row>
    <row r="394" customFormat="false" ht="13.8" hidden="false" customHeight="false" outlineLevel="0" collapsed="false">
      <c r="A394" s="25"/>
    </row>
    <row r="395" customFormat="false" ht="13.8" hidden="false" customHeight="false" outlineLevel="0" collapsed="false">
      <c r="A395" s="25"/>
    </row>
    <row r="396" customFormat="false" ht="13.8" hidden="false" customHeight="false" outlineLevel="0" collapsed="false">
      <c r="A396" s="1"/>
    </row>
    <row r="397" customFormat="false" ht="13.8" hidden="false" customHeight="false" outlineLevel="0" collapsed="false">
      <c r="A397" s="1"/>
    </row>
    <row r="398" customFormat="false" ht="13.8" hidden="false" customHeight="false" outlineLevel="0" collapsed="false">
      <c r="A398" s="25"/>
    </row>
    <row r="399" customFormat="false" ht="13.8" hidden="false" customHeight="false" outlineLevel="0" collapsed="false">
      <c r="A399" s="1"/>
    </row>
    <row r="400" customFormat="false" ht="13.8" hidden="false" customHeight="false" outlineLevel="0" collapsed="false">
      <c r="A400" s="25"/>
    </row>
    <row r="401" customFormat="false" ht="13.8" hidden="false" customHeight="false" outlineLevel="0" collapsed="false">
      <c r="A401" s="25"/>
    </row>
    <row r="402" customFormat="false" ht="13.8" hidden="false" customHeight="false" outlineLevel="0" collapsed="false">
      <c r="A402" s="25"/>
    </row>
    <row r="403" customFormat="false" ht="13.8" hidden="false" customHeight="false" outlineLevel="0" collapsed="false">
      <c r="A403" s="25"/>
    </row>
    <row r="404" customFormat="false" ht="13.8" hidden="false" customHeight="false" outlineLevel="0" collapsed="false">
      <c r="A404" s="1"/>
    </row>
    <row r="405" customFormat="false" ht="13.8" hidden="false" customHeight="false" outlineLevel="0" collapsed="false">
      <c r="A405" s="1"/>
    </row>
    <row r="406" customFormat="false" ht="13.8" hidden="false" customHeight="false" outlineLevel="0" collapsed="false">
      <c r="A406" s="25"/>
    </row>
    <row r="407" customFormat="false" ht="13.8" hidden="false" customHeight="false" outlineLevel="0" collapsed="false">
      <c r="A407" s="1"/>
    </row>
    <row r="408" customFormat="false" ht="13.8" hidden="false" customHeight="false" outlineLevel="0" collapsed="false">
      <c r="A408" s="1"/>
    </row>
    <row r="409" customFormat="false" ht="13.8" hidden="false" customHeight="false" outlineLevel="0" collapsed="false">
      <c r="A409" s="1"/>
    </row>
    <row r="410" customFormat="false" ht="13.8" hidden="false" customHeight="false" outlineLevel="0" collapsed="false">
      <c r="A410" s="1"/>
    </row>
    <row r="411" customFormat="false" ht="13.8" hidden="false" customHeight="false" outlineLevel="0" collapsed="false">
      <c r="A411" s="1"/>
    </row>
    <row r="412" customFormat="false" ht="13.8" hidden="false" customHeight="false" outlineLevel="0" collapsed="false">
      <c r="A412" s="5"/>
    </row>
    <row r="413" customFormat="false" ht="13.8" hidden="false" customHeight="false" outlineLevel="0" collapsed="false">
      <c r="A413" s="1"/>
    </row>
    <row r="414" customFormat="false" ht="13.8" hidden="false" customHeight="false" outlineLevel="0" collapsed="false">
      <c r="A414" s="1"/>
    </row>
    <row r="415" customFormat="false" ht="13.8" hidden="false" customHeight="false" outlineLevel="0" collapsed="false">
      <c r="A415" s="1"/>
    </row>
    <row r="416" customFormat="false" ht="13.8" hidden="false" customHeight="false" outlineLevel="0" collapsed="false">
      <c r="A416" s="25"/>
    </row>
    <row r="417" customFormat="false" ht="13.8" hidden="false" customHeight="false" outlineLevel="0" collapsed="false">
      <c r="A417" s="25"/>
    </row>
    <row r="418" customFormat="false" ht="13.8" hidden="false" customHeight="false" outlineLevel="0" collapsed="false">
      <c r="A418" s="25"/>
    </row>
    <row r="419" customFormat="false" ht="13.8" hidden="false" customHeight="false" outlineLevel="0" collapsed="false">
      <c r="A419" s="1"/>
    </row>
    <row r="420" customFormat="false" ht="12.8" hidden="false" customHeight="false" outlineLevel="0" collapsed="false">
      <c r="A420" s="22"/>
    </row>
    <row r="421" customFormat="false" ht="12.75" hidden="false" customHeight="true" outlineLevel="0" collapsed="false">
      <c r="A421" s="22"/>
    </row>
    <row r="422" customFormat="false" ht="13.8" hidden="false" customHeight="false" outlineLevel="0" collapsed="false">
      <c r="A422" s="1"/>
    </row>
    <row r="423" customFormat="false" ht="13.8" hidden="false" customHeight="false" outlineLevel="0" collapsed="false">
      <c r="A423" s="25"/>
    </row>
    <row r="424" customFormat="false" ht="13.8" hidden="false" customHeight="false" outlineLevel="0" collapsed="false">
      <c r="A424" s="25"/>
    </row>
    <row r="425" customFormat="false" ht="13.8" hidden="false" customHeight="false" outlineLevel="0" collapsed="false">
      <c r="A425" s="25"/>
    </row>
    <row r="426" customFormat="false" ht="13.8" hidden="false" customHeight="false" outlineLevel="0" collapsed="false">
      <c r="A426" s="25"/>
    </row>
    <row r="427" customFormat="false" ht="13.8" hidden="false" customHeight="false" outlineLevel="0" collapsed="false">
      <c r="A427" s="25"/>
    </row>
    <row r="428" customFormat="false" ht="13.8" hidden="false" customHeight="false" outlineLevel="0" collapsed="false">
      <c r="A428" s="25"/>
    </row>
    <row r="429" customFormat="false" ht="13.8" hidden="false" customHeight="false" outlineLevel="0" collapsed="false">
      <c r="A429" s="25"/>
    </row>
    <row r="430" customFormat="false" ht="13.8" hidden="false" customHeight="false" outlineLevel="0" collapsed="false">
      <c r="A430" s="25"/>
    </row>
    <row r="431" customFormat="false" ht="13.8" hidden="false" customHeight="false" outlineLevel="0" collapsed="false">
      <c r="A431" s="25"/>
    </row>
    <row r="432" customFormat="false" ht="13.8" hidden="false" customHeight="false" outlineLevel="0" collapsed="false">
      <c r="A432" s="1"/>
    </row>
    <row r="433" customFormat="false" ht="13.8" hidden="false" customHeight="false" outlineLevel="0" collapsed="false">
      <c r="A433" s="1"/>
    </row>
    <row r="434" customFormat="false" ht="13.8" hidden="false" customHeight="false" outlineLevel="0" collapsed="false">
      <c r="A434" s="1"/>
    </row>
    <row r="435" customFormat="false" ht="13.8" hidden="false" customHeight="false" outlineLevel="0" collapsed="false">
      <c r="A435" s="1"/>
    </row>
    <row r="436" customFormat="false" ht="13.8" hidden="false" customHeight="false" outlineLevel="0" collapsed="false">
      <c r="A436" s="1"/>
    </row>
    <row r="437" customFormat="false" ht="13.8" hidden="false" customHeight="false" outlineLevel="0" collapsed="false">
      <c r="A437" s="1"/>
    </row>
    <row r="438" customFormat="false" ht="13.8" hidden="false" customHeight="false" outlineLevel="0" collapsed="false">
      <c r="A438" s="1"/>
    </row>
    <row r="439" customFormat="false" ht="13.8" hidden="false" customHeight="false" outlineLevel="0" collapsed="false">
      <c r="A439" s="1"/>
    </row>
    <row r="440" customFormat="false" ht="13.8" hidden="false" customHeight="false" outlineLevel="0" collapsed="false">
      <c r="A440" s="1"/>
    </row>
    <row r="441" customFormat="false" ht="13.8" hidden="false" customHeight="false" outlineLevel="0" collapsed="false">
      <c r="A441" s="1"/>
    </row>
    <row r="442" customFormat="false" ht="13.8" hidden="false" customHeight="false" outlineLevel="0" collapsed="false">
      <c r="A442" s="1"/>
    </row>
    <row r="443" customFormat="false" ht="13.8" hidden="false" customHeight="false" outlineLevel="0" collapsed="false">
      <c r="A443" s="25"/>
    </row>
    <row r="444" customFormat="false" ht="13.8" hidden="false" customHeight="false" outlineLevel="0" collapsed="false">
      <c r="A444" s="25"/>
    </row>
    <row r="445" customFormat="false" ht="13.8" hidden="false" customHeight="false" outlineLevel="0" collapsed="false">
      <c r="A445" s="1"/>
    </row>
    <row r="446" customFormat="false" ht="13.8" hidden="false" customHeight="false" outlineLevel="0" collapsed="false">
      <c r="A446" s="25"/>
    </row>
    <row r="447" customFormat="false" ht="13.8" hidden="false" customHeight="false" outlineLevel="0" collapsed="false">
      <c r="A447" s="1"/>
    </row>
    <row r="448" customFormat="false" ht="13.8" hidden="false" customHeight="false" outlineLevel="0" collapsed="false">
      <c r="A448" s="1"/>
    </row>
    <row r="449" customFormat="false" ht="13.8" hidden="false" customHeight="false" outlineLevel="0" collapsed="false">
      <c r="A449" s="1"/>
    </row>
    <row r="450" customFormat="false" ht="13.8" hidden="false" customHeight="false" outlineLevel="0" collapsed="false">
      <c r="A450" s="1"/>
    </row>
    <row r="451" customFormat="false" ht="13.8" hidden="false" customHeight="false" outlineLevel="0" collapsed="false">
      <c r="A451" s="1"/>
    </row>
    <row r="452" customFormat="false" ht="13.8" hidden="false" customHeight="false" outlineLevel="0" collapsed="false">
      <c r="A452" s="1"/>
    </row>
    <row r="453" customFormat="false" ht="13.8" hidden="false" customHeight="false" outlineLevel="0" collapsed="false">
      <c r="A453" s="1"/>
    </row>
    <row r="454" customFormat="false" ht="13.8" hidden="false" customHeight="false" outlineLevel="0" collapsed="false">
      <c r="A454" s="1"/>
    </row>
    <row r="455" customFormat="false" ht="13.8" hidden="false" customHeight="false" outlineLevel="0" collapsed="false">
      <c r="A455" s="25"/>
    </row>
    <row r="456" customFormat="false" ht="13.8" hidden="false" customHeight="false" outlineLevel="0" collapsed="false">
      <c r="A456" s="25"/>
    </row>
    <row r="457" customFormat="false" ht="13.8" hidden="false" customHeight="false" outlineLevel="0" collapsed="false">
      <c r="A457" s="25"/>
    </row>
    <row r="458" customFormat="false" ht="13.8" hidden="false" customHeight="false" outlineLevel="0" collapsed="false">
      <c r="A458" s="25"/>
    </row>
    <row r="459" customFormat="false" ht="13.8" hidden="false" customHeight="false" outlineLevel="0" collapsed="false">
      <c r="A459" s="25"/>
    </row>
    <row r="460" customFormat="false" ht="13.8" hidden="false" customHeight="false" outlineLevel="0" collapsed="false">
      <c r="A460" s="25"/>
    </row>
    <row r="461" customFormat="false" ht="13.8" hidden="false" customHeight="false" outlineLevel="0" collapsed="false">
      <c r="A461" s="25"/>
    </row>
    <row r="462" customFormat="false" ht="13.8" hidden="false" customHeight="false" outlineLevel="0" collapsed="false">
      <c r="A462" s="25"/>
    </row>
    <row r="463" customFormat="false" ht="13.8" hidden="false" customHeight="false" outlineLevel="0" collapsed="false">
      <c r="A463" s="25"/>
    </row>
    <row r="464" customFormat="false" ht="13.8" hidden="false" customHeight="false" outlineLevel="0" collapsed="false">
      <c r="A464" s="25"/>
    </row>
    <row r="465" customFormat="false" ht="13.8" hidden="false" customHeight="false" outlineLevel="0" collapsed="false">
      <c r="A465" s="25"/>
    </row>
    <row r="466" customFormat="false" ht="13.8" hidden="false" customHeight="false" outlineLevel="0" collapsed="false">
      <c r="A466" s="1"/>
    </row>
    <row r="467" customFormat="false" ht="13.8" hidden="false" customHeight="false" outlineLevel="0" collapsed="false">
      <c r="A467" s="1"/>
    </row>
    <row r="468" customFormat="false" ht="13.8" hidden="false" customHeight="false" outlineLevel="0" collapsed="false">
      <c r="A468" s="25"/>
    </row>
    <row r="469" customFormat="false" ht="13.8" hidden="false" customHeight="false" outlineLevel="0" collapsed="false">
      <c r="A469" s="1"/>
    </row>
    <row r="470" customFormat="false" ht="13.8" hidden="false" customHeight="false" outlineLevel="0" collapsed="false">
      <c r="A470" s="25"/>
    </row>
    <row r="471" customFormat="false" ht="13.8" hidden="false" customHeight="false" outlineLevel="0" collapsed="false">
      <c r="A471" s="25"/>
    </row>
    <row r="472" customFormat="false" ht="13.8" hidden="false" customHeight="false" outlineLevel="0" collapsed="false">
      <c r="A472" s="25"/>
    </row>
    <row r="473" customFormat="false" ht="13.8" hidden="false" customHeight="false" outlineLevel="0" collapsed="false">
      <c r="A473" s="25"/>
    </row>
    <row r="474" customFormat="false" ht="13.8" hidden="false" customHeight="false" outlineLevel="0" collapsed="false">
      <c r="A474" s="1"/>
    </row>
    <row r="475" customFormat="false" ht="13.8" hidden="false" customHeight="false" outlineLevel="0" collapsed="false">
      <c r="A475" s="1"/>
    </row>
    <row r="476" customFormat="false" ht="13.8" hidden="false" customHeight="false" outlineLevel="0" collapsed="false">
      <c r="A476" s="25"/>
    </row>
    <row r="477" customFormat="false" ht="13.8" hidden="false" customHeight="false" outlineLevel="0" collapsed="false">
      <c r="A477" s="1"/>
    </row>
    <row r="478" customFormat="false" ht="13.8" hidden="false" customHeight="false" outlineLevel="0" collapsed="false">
      <c r="A478" s="1"/>
    </row>
    <row r="479" customFormat="false" ht="13.8" hidden="false" customHeight="false" outlineLevel="0" collapsed="false">
      <c r="A479" s="1"/>
    </row>
    <row r="480" customFormat="false" ht="13.8" hidden="false" customHeight="false" outlineLevel="0" collapsed="false">
      <c r="A480" s="1"/>
    </row>
    <row r="481" customFormat="false" ht="13.8" hidden="false" customHeight="false" outlineLevel="0" collapsed="false">
      <c r="A481" s="1"/>
    </row>
    <row r="482" customFormat="false" ht="13.8" hidden="false" customHeight="false" outlineLevel="0" collapsed="false">
      <c r="A482" s="5"/>
    </row>
    <row r="483" customFormat="false" ht="13.8" hidden="false" customHeight="false" outlineLevel="0" collapsed="false">
      <c r="A483" s="1"/>
    </row>
    <row r="484" customFormat="false" ht="13.8" hidden="false" customHeight="false" outlineLevel="0" collapsed="false">
      <c r="A484" s="1"/>
    </row>
    <row r="485" customFormat="false" ht="13.8" hidden="false" customHeight="false" outlineLevel="0" collapsed="false">
      <c r="A485" s="1"/>
    </row>
    <row r="486" customFormat="false" ht="13.8" hidden="false" customHeight="false" outlineLevel="0" collapsed="false">
      <c r="A486" s="25"/>
    </row>
    <row r="487" customFormat="false" ht="13.8" hidden="false" customHeight="false" outlineLevel="0" collapsed="false">
      <c r="A487" s="25"/>
    </row>
    <row r="488" customFormat="false" ht="13.8" hidden="false" customHeight="false" outlineLevel="0" collapsed="false">
      <c r="A488" s="25"/>
    </row>
    <row r="489" customFormat="false" ht="13.8" hidden="false" customHeight="false" outlineLevel="0" collapsed="false">
      <c r="A489" s="1"/>
    </row>
    <row r="490" customFormat="false" ht="12.8" hidden="false" customHeight="false" outlineLevel="0" collapsed="false">
      <c r="A490" s="22"/>
    </row>
    <row r="491" customFormat="false" ht="12.75" hidden="false" customHeight="true" outlineLevel="0" collapsed="false">
      <c r="A491" s="22"/>
    </row>
    <row r="492" customFormat="false" ht="13.8" hidden="false" customHeight="false" outlineLevel="0" collapsed="false">
      <c r="A492" s="1"/>
    </row>
    <row r="493" customFormat="false" ht="13.8" hidden="false" customHeight="false" outlineLevel="0" collapsed="false">
      <c r="A493" s="25"/>
    </row>
    <row r="494" customFormat="false" ht="13.8" hidden="false" customHeight="false" outlineLevel="0" collapsed="false">
      <c r="A494" s="25"/>
    </row>
    <row r="495" customFormat="false" ht="13.8" hidden="false" customHeight="false" outlineLevel="0" collapsed="false">
      <c r="A495" s="25"/>
    </row>
    <row r="496" customFormat="false" ht="13.8" hidden="false" customHeight="false" outlineLevel="0" collapsed="false">
      <c r="A496" s="25"/>
    </row>
    <row r="497" customFormat="false" ht="13.8" hidden="false" customHeight="false" outlineLevel="0" collapsed="false">
      <c r="A497" s="25"/>
    </row>
    <row r="498" customFormat="false" ht="13.8" hidden="false" customHeight="false" outlineLevel="0" collapsed="false">
      <c r="A498" s="25"/>
    </row>
    <row r="499" customFormat="false" ht="13.8" hidden="false" customHeight="false" outlineLevel="0" collapsed="false">
      <c r="A499" s="25"/>
    </row>
    <row r="500" customFormat="false" ht="13.8" hidden="false" customHeight="false" outlineLevel="0" collapsed="false">
      <c r="A500" s="25"/>
    </row>
    <row r="501" customFormat="false" ht="13.8" hidden="false" customHeight="false" outlineLevel="0" collapsed="false">
      <c r="A501" s="25"/>
    </row>
    <row r="502" customFormat="false" ht="13.8" hidden="false" customHeight="false" outlineLevel="0" collapsed="false">
      <c r="A502" s="1"/>
    </row>
    <row r="503" customFormat="false" ht="13.8" hidden="false" customHeight="false" outlineLevel="0" collapsed="false">
      <c r="A503" s="1"/>
    </row>
    <row r="504" customFormat="false" ht="13.8" hidden="false" customHeight="false" outlineLevel="0" collapsed="false">
      <c r="A504" s="1"/>
    </row>
    <row r="505" customFormat="false" ht="13.8" hidden="false" customHeight="false" outlineLevel="0" collapsed="false">
      <c r="A505" s="1"/>
    </row>
    <row r="506" customFormat="false" ht="13.8" hidden="false" customHeight="false" outlineLevel="0" collapsed="false">
      <c r="A506" s="1"/>
    </row>
    <row r="507" customFormat="false" ht="13.8" hidden="false" customHeight="false" outlineLevel="0" collapsed="false">
      <c r="A507" s="1"/>
    </row>
    <row r="508" customFormat="false" ht="13.8" hidden="false" customHeight="false" outlineLevel="0" collapsed="false">
      <c r="A508" s="1"/>
    </row>
    <row r="509" customFormat="false" ht="13.8" hidden="false" customHeight="false" outlineLevel="0" collapsed="false">
      <c r="A509" s="1"/>
    </row>
    <row r="510" customFormat="false" ht="13.8" hidden="false" customHeight="false" outlineLevel="0" collapsed="false">
      <c r="A510" s="1"/>
    </row>
    <row r="511" customFormat="false" ht="13.8" hidden="false" customHeight="false" outlineLevel="0" collapsed="false">
      <c r="A511" s="1"/>
    </row>
    <row r="512" customFormat="false" ht="13.8" hidden="false" customHeight="false" outlineLevel="0" collapsed="false">
      <c r="A512" s="1"/>
    </row>
    <row r="513" customFormat="false" ht="13.8" hidden="false" customHeight="false" outlineLevel="0" collapsed="false">
      <c r="A513" s="25"/>
    </row>
    <row r="514" customFormat="false" ht="13.8" hidden="false" customHeight="false" outlineLevel="0" collapsed="false">
      <c r="A514" s="25"/>
    </row>
    <row r="515" customFormat="false" ht="13.8" hidden="false" customHeight="false" outlineLevel="0" collapsed="false">
      <c r="A515" s="1"/>
    </row>
    <row r="516" customFormat="false" ht="13.8" hidden="false" customHeight="false" outlineLevel="0" collapsed="false">
      <c r="A516" s="25"/>
    </row>
    <row r="517" customFormat="false" ht="13.8" hidden="false" customHeight="false" outlineLevel="0" collapsed="false">
      <c r="A517" s="1"/>
    </row>
    <row r="518" customFormat="false" ht="13.8" hidden="false" customHeight="false" outlineLevel="0" collapsed="false">
      <c r="A518" s="1"/>
    </row>
    <row r="519" customFormat="false" ht="13.8" hidden="false" customHeight="false" outlineLevel="0" collapsed="false">
      <c r="A519" s="1"/>
    </row>
    <row r="520" customFormat="false" ht="13.8" hidden="false" customHeight="false" outlineLevel="0" collapsed="false">
      <c r="A520" s="1"/>
    </row>
    <row r="521" customFormat="false" ht="13.8" hidden="false" customHeight="false" outlineLevel="0" collapsed="false">
      <c r="A521" s="1"/>
    </row>
    <row r="522" customFormat="false" ht="13.8" hidden="false" customHeight="false" outlineLevel="0" collapsed="false">
      <c r="A522" s="1"/>
    </row>
    <row r="523" customFormat="false" ht="13.8" hidden="false" customHeight="false" outlineLevel="0" collapsed="false">
      <c r="A523" s="1"/>
    </row>
    <row r="524" customFormat="false" ht="13.8" hidden="false" customHeight="false" outlineLevel="0" collapsed="false">
      <c r="A524" s="1"/>
    </row>
    <row r="525" customFormat="false" ht="13.8" hidden="false" customHeight="false" outlineLevel="0" collapsed="false">
      <c r="A525" s="25"/>
    </row>
    <row r="526" customFormat="false" ht="13.8" hidden="false" customHeight="false" outlineLevel="0" collapsed="false">
      <c r="A526" s="25"/>
    </row>
    <row r="527" customFormat="false" ht="13.8" hidden="false" customHeight="false" outlineLevel="0" collapsed="false">
      <c r="A527" s="25"/>
    </row>
    <row r="528" customFormat="false" ht="13.8" hidden="false" customHeight="false" outlineLevel="0" collapsed="false">
      <c r="A528" s="25"/>
    </row>
    <row r="529" customFormat="false" ht="13.8" hidden="false" customHeight="false" outlineLevel="0" collapsed="false">
      <c r="A529" s="25"/>
    </row>
    <row r="530" customFormat="false" ht="13.8" hidden="false" customHeight="false" outlineLevel="0" collapsed="false">
      <c r="A530" s="25"/>
    </row>
    <row r="531" customFormat="false" ht="13.8" hidden="false" customHeight="false" outlineLevel="0" collapsed="false">
      <c r="A531" s="25"/>
    </row>
    <row r="532" customFormat="false" ht="13.8" hidden="false" customHeight="false" outlineLevel="0" collapsed="false">
      <c r="A532" s="25"/>
    </row>
    <row r="533" customFormat="false" ht="13.8" hidden="false" customHeight="false" outlineLevel="0" collapsed="false">
      <c r="A533" s="25"/>
    </row>
    <row r="534" customFormat="false" ht="13.8" hidden="false" customHeight="false" outlineLevel="0" collapsed="false">
      <c r="A534" s="25"/>
    </row>
    <row r="535" customFormat="false" ht="13.8" hidden="false" customHeight="false" outlineLevel="0" collapsed="false">
      <c r="A535" s="25"/>
    </row>
    <row r="536" customFormat="false" ht="13.8" hidden="false" customHeight="false" outlineLevel="0" collapsed="false">
      <c r="A536" s="1"/>
    </row>
    <row r="537" customFormat="false" ht="13.8" hidden="false" customHeight="false" outlineLevel="0" collapsed="false">
      <c r="A537" s="1"/>
    </row>
    <row r="538" customFormat="false" ht="13.8" hidden="false" customHeight="false" outlineLevel="0" collapsed="false">
      <c r="A538" s="25"/>
    </row>
    <row r="539" customFormat="false" ht="13.8" hidden="false" customHeight="false" outlineLevel="0" collapsed="false">
      <c r="A539" s="1"/>
    </row>
    <row r="540" customFormat="false" ht="13.8" hidden="false" customHeight="false" outlineLevel="0" collapsed="false">
      <c r="A540" s="25"/>
    </row>
    <row r="541" customFormat="false" ht="13.8" hidden="false" customHeight="false" outlineLevel="0" collapsed="false">
      <c r="A541" s="25"/>
    </row>
    <row r="542" customFormat="false" ht="13.8" hidden="false" customHeight="false" outlineLevel="0" collapsed="false">
      <c r="A542" s="25"/>
    </row>
    <row r="543" customFormat="false" ht="13.8" hidden="false" customHeight="false" outlineLevel="0" collapsed="false">
      <c r="A543" s="25"/>
    </row>
    <row r="544" customFormat="false" ht="13.8" hidden="false" customHeight="false" outlineLevel="0" collapsed="false">
      <c r="A544" s="1"/>
    </row>
    <row r="545" customFormat="false" ht="13.8" hidden="false" customHeight="false" outlineLevel="0" collapsed="false">
      <c r="A545" s="1"/>
    </row>
    <row r="546" customFormat="false" ht="13.8" hidden="false" customHeight="false" outlineLevel="0" collapsed="false">
      <c r="A546" s="25"/>
    </row>
    <row r="547" customFormat="false" ht="13.8" hidden="false" customHeight="false" outlineLevel="0" collapsed="false">
      <c r="A547" s="1"/>
    </row>
    <row r="548" customFormat="false" ht="13.8" hidden="false" customHeight="false" outlineLevel="0" collapsed="false">
      <c r="A548" s="1"/>
    </row>
    <row r="549" customFormat="false" ht="13.8" hidden="false" customHeight="false" outlineLevel="0" collapsed="false">
      <c r="A549" s="1"/>
    </row>
    <row r="550" customFormat="false" ht="13.8" hidden="false" customHeight="false" outlineLevel="0" collapsed="false">
      <c r="A550" s="1"/>
    </row>
    <row r="551" customFormat="false" ht="13.8" hidden="false" customHeight="false" outlineLevel="0" collapsed="false">
      <c r="A551" s="1"/>
    </row>
    <row r="552" customFormat="false" ht="13.8" hidden="false" customHeight="false" outlineLevel="0" collapsed="false">
      <c r="A552" s="5"/>
    </row>
    <row r="553" customFormat="false" ht="13.8" hidden="false" customHeight="false" outlineLevel="0" collapsed="false">
      <c r="A553" s="1"/>
    </row>
    <row r="554" customFormat="false" ht="13.8" hidden="false" customHeight="false" outlineLevel="0" collapsed="false">
      <c r="A554" s="1"/>
    </row>
    <row r="555" customFormat="false" ht="13.8" hidden="false" customHeight="false" outlineLevel="0" collapsed="false">
      <c r="A555" s="1"/>
    </row>
    <row r="556" customFormat="false" ht="13.8" hidden="false" customHeight="false" outlineLevel="0" collapsed="false">
      <c r="A556" s="25"/>
    </row>
    <row r="557" customFormat="false" ht="13.8" hidden="false" customHeight="false" outlineLevel="0" collapsed="false">
      <c r="A557" s="25"/>
    </row>
    <row r="558" customFormat="false" ht="13.8" hidden="false" customHeight="false" outlineLevel="0" collapsed="false">
      <c r="A558" s="25"/>
    </row>
    <row r="559" customFormat="false" ht="13.8" hidden="false" customHeight="false" outlineLevel="0" collapsed="false">
      <c r="A559" s="1"/>
    </row>
    <row r="560" customFormat="false" ht="12.8" hidden="false" customHeight="false" outlineLevel="0" collapsed="false">
      <c r="A560" s="22"/>
    </row>
    <row r="561" customFormat="false" ht="12.75" hidden="false" customHeight="true" outlineLevel="0" collapsed="false">
      <c r="A561" s="22"/>
    </row>
    <row r="562" customFormat="false" ht="13.8" hidden="false" customHeight="false" outlineLevel="0" collapsed="false">
      <c r="A562" s="1"/>
    </row>
    <row r="563" customFormat="false" ht="13.8" hidden="false" customHeight="false" outlineLevel="0" collapsed="false">
      <c r="A563" s="25"/>
    </row>
    <row r="564" customFormat="false" ht="13.8" hidden="false" customHeight="false" outlineLevel="0" collapsed="false">
      <c r="A564" s="25"/>
    </row>
    <row r="565" customFormat="false" ht="13.8" hidden="false" customHeight="false" outlineLevel="0" collapsed="false">
      <c r="A565" s="25"/>
    </row>
    <row r="566" customFormat="false" ht="13.8" hidden="false" customHeight="false" outlineLevel="0" collapsed="false">
      <c r="A566" s="25"/>
    </row>
    <row r="567" customFormat="false" ht="13.8" hidden="false" customHeight="false" outlineLevel="0" collapsed="false">
      <c r="A567" s="25"/>
    </row>
    <row r="568" customFormat="false" ht="13.8" hidden="false" customHeight="false" outlineLevel="0" collapsed="false">
      <c r="A568" s="25"/>
    </row>
    <row r="569" customFormat="false" ht="13.8" hidden="false" customHeight="false" outlineLevel="0" collapsed="false">
      <c r="A569" s="25"/>
    </row>
    <row r="570" customFormat="false" ht="13.8" hidden="false" customHeight="false" outlineLevel="0" collapsed="false">
      <c r="A570" s="25"/>
    </row>
    <row r="571" customFormat="false" ht="13.8" hidden="false" customHeight="false" outlineLevel="0" collapsed="false">
      <c r="A571" s="25"/>
    </row>
    <row r="572" customFormat="false" ht="13.8" hidden="false" customHeight="false" outlineLevel="0" collapsed="false">
      <c r="A572" s="1"/>
    </row>
    <row r="573" customFormat="false" ht="13.8" hidden="false" customHeight="false" outlineLevel="0" collapsed="false">
      <c r="A573" s="1"/>
    </row>
    <row r="574" customFormat="false" ht="13.8" hidden="false" customHeight="false" outlineLevel="0" collapsed="false">
      <c r="A574" s="1"/>
    </row>
    <row r="575" customFormat="false" ht="13.8" hidden="false" customHeight="false" outlineLevel="0" collapsed="false">
      <c r="A575" s="1"/>
    </row>
    <row r="576" customFormat="false" ht="13.8" hidden="false" customHeight="false" outlineLevel="0" collapsed="false">
      <c r="A576" s="1"/>
    </row>
    <row r="577" customFormat="false" ht="13.8" hidden="false" customHeight="false" outlineLevel="0" collapsed="false">
      <c r="A577" s="1"/>
    </row>
    <row r="578" customFormat="false" ht="13.8" hidden="false" customHeight="false" outlineLevel="0" collapsed="false">
      <c r="A578" s="1"/>
    </row>
    <row r="579" customFormat="false" ht="13.8" hidden="false" customHeight="false" outlineLevel="0" collapsed="false">
      <c r="A579" s="1"/>
    </row>
    <row r="580" customFormat="false" ht="13.8" hidden="false" customHeight="false" outlineLevel="0" collapsed="false">
      <c r="A580" s="1"/>
    </row>
    <row r="581" customFormat="false" ht="13.8" hidden="false" customHeight="false" outlineLevel="0" collapsed="false">
      <c r="A581" s="1"/>
    </row>
    <row r="582" customFormat="false" ht="13.8" hidden="false" customHeight="false" outlineLevel="0" collapsed="false">
      <c r="A582" s="1"/>
    </row>
    <row r="583" customFormat="false" ht="13.8" hidden="false" customHeight="false" outlineLevel="0" collapsed="false">
      <c r="A583" s="25"/>
    </row>
    <row r="584" customFormat="false" ht="13.8" hidden="false" customHeight="false" outlineLevel="0" collapsed="false">
      <c r="A584" s="25"/>
    </row>
    <row r="585" customFormat="false" ht="13.8" hidden="false" customHeight="false" outlineLevel="0" collapsed="false">
      <c r="A585" s="1"/>
    </row>
    <row r="586" customFormat="false" ht="13.8" hidden="false" customHeight="false" outlineLevel="0" collapsed="false">
      <c r="A586" s="25"/>
    </row>
    <row r="587" customFormat="false" ht="13.8" hidden="false" customHeight="false" outlineLevel="0" collapsed="false">
      <c r="A587" s="1"/>
    </row>
    <row r="588" customFormat="false" ht="13.8" hidden="false" customHeight="false" outlineLevel="0" collapsed="false">
      <c r="A588" s="1"/>
    </row>
    <row r="589" customFormat="false" ht="13.8" hidden="false" customHeight="false" outlineLevel="0" collapsed="false">
      <c r="A589" s="1"/>
    </row>
    <row r="590" customFormat="false" ht="13.8" hidden="false" customHeight="false" outlineLevel="0" collapsed="false">
      <c r="A590" s="1"/>
    </row>
    <row r="591" customFormat="false" ht="13.8" hidden="false" customHeight="false" outlineLevel="0" collapsed="false">
      <c r="A591" s="1"/>
    </row>
    <row r="592" customFormat="false" ht="13.8" hidden="false" customHeight="false" outlineLevel="0" collapsed="false">
      <c r="A592" s="1"/>
    </row>
    <row r="593" customFormat="false" ht="13.8" hidden="false" customHeight="false" outlineLevel="0" collapsed="false">
      <c r="A593" s="1"/>
    </row>
    <row r="594" customFormat="false" ht="13.8" hidden="false" customHeight="false" outlineLevel="0" collapsed="false">
      <c r="A594" s="1"/>
    </row>
    <row r="595" customFormat="false" ht="13.8" hidden="false" customHeight="false" outlineLevel="0" collapsed="false">
      <c r="A595" s="25"/>
    </row>
    <row r="596" customFormat="false" ht="13.8" hidden="false" customHeight="false" outlineLevel="0" collapsed="false">
      <c r="A596" s="25"/>
    </row>
    <row r="597" customFormat="false" ht="13.8" hidden="false" customHeight="false" outlineLevel="0" collapsed="false">
      <c r="A597" s="25"/>
    </row>
    <row r="598" customFormat="false" ht="13.8" hidden="false" customHeight="false" outlineLevel="0" collapsed="false">
      <c r="A598" s="25"/>
    </row>
    <row r="599" customFormat="false" ht="13.8" hidden="false" customHeight="false" outlineLevel="0" collapsed="false">
      <c r="A599" s="25"/>
    </row>
    <row r="600" customFormat="false" ht="13.8" hidden="false" customHeight="false" outlineLevel="0" collapsed="false">
      <c r="A600" s="25"/>
    </row>
    <row r="601" customFormat="false" ht="13.8" hidden="false" customHeight="false" outlineLevel="0" collapsed="false">
      <c r="A601" s="25"/>
    </row>
    <row r="602" customFormat="false" ht="13.8" hidden="false" customHeight="false" outlineLevel="0" collapsed="false">
      <c r="A602" s="25"/>
    </row>
    <row r="603" customFormat="false" ht="13.8" hidden="false" customHeight="false" outlineLevel="0" collapsed="false">
      <c r="A603" s="25"/>
    </row>
    <row r="604" customFormat="false" ht="13.8" hidden="false" customHeight="false" outlineLevel="0" collapsed="false">
      <c r="A604" s="25"/>
    </row>
    <row r="605" customFormat="false" ht="13.8" hidden="false" customHeight="false" outlineLevel="0" collapsed="false">
      <c r="A605" s="25"/>
    </row>
    <row r="606" customFormat="false" ht="13.8" hidden="false" customHeight="false" outlineLevel="0" collapsed="false">
      <c r="A606" s="1"/>
    </row>
    <row r="607" customFormat="false" ht="13.8" hidden="false" customHeight="false" outlineLevel="0" collapsed="false">
      <c r="A607" s="1"/>
    </row>
    <row r="608" customFormat="false" ht="13.8" hidden="false" customHeight="false" outlineLevel="0" collapsed="false">
      <c r="A608" s="25"/>
    </row>
    <row r="609" customFormat="false" ht="13.8" hidden="false" customHeight="false" outlineLevel="0" collapsed="false">
      <c r="A609" s="1"/>
    </row>
    <row r="610" customFormat="false" ht="13.8" hidden="false" customHeight="false" outlineLevel="0" collapsed="false">
      <c r="A610" s="25"/>
    </row>
    <row r="611" customFormat="false" ht="13.8" hidden="false" customHeight="false" outlineLevel="0" collapsed="false">
      <c r="A611" s="25"/>
    </row>
    <row r="612" customFormat="false" ht="13.8" hidden="false" customHeight="false" outlineLevel="0" collapsed="false">
      <c r="A612" s="25"/>
    </row>
    <row r="613" customFormat="false" ht="13.8" hidden="false" customHeight="false" outlineLevel="0" collapsed="false">
      <c r="A613" s="25"/>
    </row>
    <row r="614" customFormat="false" ht="13.8" hidden="false" customHeight="false" outlineLevel="0" collapsed="false">
      <c r="A614" s="1"/>
    </row>
    <row r="615" customFormat="false" ht="13.8" hidden="false" customHeight="false" outlineLevel="0" collapsed="false">
      <c r="A615" s="1"/>
    </row>
    <row r="616" customFormat="false" ht="13.8" hidden="false" customHeight="false" outlineLevel="0" collapsed="false">
      <c r="A616" s="25"/>
    </row>
    <row r="617" customFormat="false" ht="13.8" hidden="false" customHeight="false" outlineLevel="0" collapsed="false">
      <c r="A617" s="1"/>
    </row>
    <row r="618" customFormat="false" ht="13.8" hidden="false" customHeight="false" outlineLevel="0" collapsed="false">
      <c r="A618" s="1"/>
    </row>
    <row r="619" customFormat="false" ht="13.8" hidden="false" customHeight="false" outlineLevel="0" collapsed="false">
      <c r="A619" s="1"/>
    </row>
    <row r="620" customFormat="false" ht="13.8" hidden="false" customHeight="false" outlineLevel="0" collapsed="false">
      <c r="A620" s="1"/>
    </row>
    <row r="621" customFormat="false" ht="13.8" hidden="false" customHeight="false" outlineLevel="0" collapsed="false">
      <c r="A621" s="1"/>
    </row>
    <row r="622" customFormat="false" ht="13.8" hidden="false" customHeight="false" outlineLevel="0" collapsed="false">
      <c r="A622" s="5"/>
    </row>
    <row r="623" customFormat="false" ht="13.8" hidden="false" customHeight="false" outlineLevel="0" collapsed="false">
      <c r="A623" s="1"/>
    </row>
    <row r="624" customFormat="false" ht="13.8" hidden="false" customHeight="false" outlineLevel="0" collapsed="false">
      <c r="A624" s="1"/>
    </row>
    <row r="625" customFormat="false" ht="13.8" hidden="false" customHeight="false" outlineLevel="0" collapsed="false">
      <c r="A625" s="1"/>
    </row>
    <row r="626" customFormat="false" ht="13.8" hidden="false" customHeight="false" outlineLevel="0" collapsed="false">
      <c r="A626" s="25"/>
    </row>
    <row r="627" customFormat="false" ht="13.8" hidden="false" customHeight="false" outlineLevel="0" collapsed="false">
      <c r="A627" s="25"/>
    </row>
    <row r="628" customFormat="false" ht="13.8" hidden="false" customHeight="false" outlineLevel="0" collapsed="false">
      <c r="A628" s="25"/>
    </row>
    <row r="629" customFormat="false" ht="13.8" hidden="false" customHeight="false" outlineLevel="0" collapsed="false">
      <c r="A629" s="1"/>
    </row>
    <row r="630" customFormat="false" ht="12.8" hidden="false" customHeight="false" outlineLevel="0" collapsed="false">
      <c r="A630" s="22"/>
    </row>
    <row r="631" customFormat="false" ht="12.75" hidden="false" customHeight="true" outlineLevel="0" collapsed="false">
      <c r="A631" s="22"/>
    </row>
    <row r="632" customFormat="false" ht="13.8" hidden="false" customHeight="false" outlineLevel="0" collapsed="false">
      <c r="A632" s="1"/>
    </row>
    <row r="633" customFormat="false" ht="13.8" hidden="false" customHeight="false" outlineLevel="0" collapsed="false">
      <c r="A633" s="25"/>
    </row>
    <row r="634" customFormat="false" ht="13.8" hidden="false" customHeight="false" outlineLevel="0" collapsed="false">
      <c r="A634" s="25"/>
    </row>
    <row r="635" customFormat="false" ht="13.8" hidden="false" customHeight="false" outlineLevel="0" collapsed="false">
      <c r="A635" s="25"/>
    </row>
    <row r="636" customFormat="false" ht="13.8" hidden="false" customHeight="false" outlineLevel="0" collapsed="false">
      <c r="A636" s="25"/>
    </row>
    <row r="637" customFormat="false" ht="13.8" hidden="false" customHeight="false" outlineLevel="0" collapsed="false">
      <c r="A637" s="25"/>
    </row>
    <row r="638" customFormat="false" ht="13.8" hidden="false" customHeight="false" outlineLevel="0" collapsed="false">
      <c r="A638" s="25"/>
    </row>
    <row r="639" customFormat="false" ht="13.8" hidden="false" customHeight="false" outlineLevel="0" collapsed="false">
      <c r="A639" s="25"/>
    </row>
    <row r="640" customFormat="false" ht="13.8" hidden="false" customHeight="false" outlineLevel="0" collapsed="false">
      <c r="A640" s="25"/>
    </row>
    <row r="641" customFormat="false" ht="13.8" hidden="false" customHeight="false" outlineLevel="0" collapsed="false">
      <c r="A641" s="25"/>
    </row>
    <row r="642" customFormat="false" ht="13.8" hidden="false" customHeight="false" outlineLevel="0" collapsed="false">
      <c r="A642" s="1"/>
    </row>
    <row r="643" customFormat="false" ht="13.8" hidden="false" customHeight="false" outlineLevel="0" collapsed="false">
      <c r="A643" s="1"/>
    </row>
    <row r="644" customFormat="false" ht="13.8" hidden="false" customHeight="false" outlineLevel="0" collapsed="false">
      <c r="A644" s="1"/>
    </row>
    <row r="645" customFormat="false" ht="13.8" hidden="false" customHeight="false" outlineLevel="0" collapsed="false">
      <c r="A645" s="1"/>
    </row>
    <row r="646" customFormat="false" ht="13.8" hidden="false" customHeight="false" outlineLevel="0" collapsed="false">
      <c r="A646" s="1"/>
    </row>
    <row r="647" customFormat="false" ht="13.8" hidden="false" customHeight="false" outlineLevel="0" collapsed="false">
      <c r="A647" s="1"/>
    </row>
    <row r="648" customFormat="false" ht="13.8" hidden="false" customHeight="false" outlineLevel="0" collapsed="false">
      <c r="A648" s="1"/>
    </row>
    <row r="649" customFormat="false" ht="13.8" hidden="false" customHeight="false" outlineLevel="0" collapsed="false">
      <c r="A649" s="1"/>
    </row>
    <row r="650" customFormat="false" ht="13.8" hidden="false" customHeight="false" outlineLevel="0" collapsed="false">
      <c r="A650" s="1"/>
    </row>
    <row r="651" customFormat="false" ht="13.8" hidden="false" customHeight="false" outlineLevel="0" collapsed="false">
      <c r="A651" s="1"/>
    </row>
    <row r="652" customFormat="false" ht="13.8" hidden="false" customHeight="false" outlineLevel="0" collapsed="false">
      <c r="A652" s="1"/>
    </row>
    <row r="653" customFormat="false" ht="13.8" hidden="false" customHeight="false" outlineLevel="0" collapsed="false">
      <c r="A653" s="25"/>
    </row>
    <row r="654" customFormat="false" ht="13.8" hidden="false" customHeight="false" outlineLevel="0" collapsed="false">
      <c r="A654" s="25"/>
    </row>
    <row r="655" customFormat="false" ht="13.8" hidden="false" customHeight="false" outlineLevel="0" collapsed="false">
      <c r="A655" s="1"/>
    </row>
    <row r="656" customFormat="false" ht="13.8" hidden="false" customHeight="false" outlineLevel="0" collapsed="false">
      <c r="A656" s="25"/>
    </row>
    <row r="657" customFormat="false" ht="13.8" hidden="false" customHeight="false" outlineLevel="0" collapsed="false">
      <c r="A657" s="1"/>
    </row>
    <row r="658" customFormat="false" ht="13.8" hidden="false" customHeight="false" outlineLevel="0" collapsed="false">
      <c r="A658" s="1"/>
    </row>
    <row r="659" customFormat="false" ht="13.8" hidden="false" customHeight="false" outlineLevel="0" collapsed="false">
      <c r="A659" s="1"/>
    </row>
    <row r="660" customFormat="false" ht="13.8" hidden="false" customHeight="false" outlineLevel="0" collapsed="false">
      <c r="A660" s="1"/>
    </row>
    <row r="661" customFormat="false" ht="13.8" hidden="false" customHeight="false" outlineLevel="0" collapsed="false">
      <c r="A661" s="1"/>
    </row>
    <row r="662" customFormat="false" ht="13.8" hidden="false" customHeight="false" outlineLevel="0" collapsed="false">
      <c r="A662" s="1"/>
    </row>
    <row r="663" customFormat="false" ht="13.8" hidden="false" customHeight="false" outlineLevel="0" collapsed="false">
      <c r="A663" s="1"/>
    </row>
    <row r="664" customFormat="false" ht="13.8" hidden="false" customHeight="false" outlineLevel="0" collapsed="false">
      <c r="A664" s="1"/>
    </row>
    <row r="665" customFormat="false" ht="13.8" hidden="false" customHeight="false" outlineLevel="0" collapsed="false">
      <c r="A665" s="25"/>
    </row>
    <row r="666" customFormat="false" ht="13.8" hidden="false" customHeight="false" outlineLevel="0" collapsed="false">
      <c r="A666" s="25"/>
    </row>
    <row r="667" customFormat="false" ht="13.8" hidden="false" customHeight="false" outlineLevel="0" collapsed="false">
      <c r="A667" s="25"/>
    </row>
    <row r="668" customFormat="false" ht="13.8" hidden="false" customHeight="false" outlineLevel="0" collapsed="false">
      <c r="A668" s="25"/>
    </row>
    <row r="669" customFormat="false" ht="13.8" hidden="false" customHeight="false" outlineLevel="0" collapsed="false">
      <c r="A669" s="25"/>
    </row>
    <row r="670" customFormat="false" ht="13.8" hidden="false" customHeight="false" outlineLevel="0" collapsed="false">
      <c r="A670" s="25"/>
    </row>
    <row r="671" customFormat="false" ht="13.8" hidden="false" customHeight="false" outlineLevel="0" collapsed="false">
      <c r="A671" s="25"/>
    </row>
    <row r="672" customFormat="false" ht="13.8" hidden="false" customHeight="false" outlineLevel="0" collapsed="false">
      <c r="A672" s="25"/>
    </row>
    <row r="673" customFormat="false" ht="13.8" hidden="false" customHeight="false" outlineLevel="0" collapsed="false">
      <c r="A673" s="25"/>
    </row>
    <row r="674" customFormat="false" ht="13.8" hidden="false" customHeight="false" outlineLevel="0" collapsed="false">
      <c r="A674" s="25"/>
    </row>
    <row r="675" customFormat="false" ht="13.8" hidden="false" customHeight="false" outlineLevel="0" collapsed="false">
      <c r="A675" s="25"/>
    </row>
    <row r="676" customFormat="false" ht="13.8" hidden="false" customHeight="false" outlineLevel="0" collapsed="false">
      <c r="A676" s="1"/>
    </row>
    <row r="677" customFormat="false" ht="13.8" hidden="false" customHeight="false" outlineLevel="0" collapsed="false">
      <c r="A677" s="1"/>
    </row>
    <row r="678" customFormat="false" ht="13.8" hidden="false" customHeight="false" outlineLevel="0" collapsed="false">
      <c r="A678" s="25"/>
    </row>
    <row r="679" customFormat="false" ht="13.8" hidden="false" customHeight="false" outlineLevel="0" collapsed="false">
      <c r="A679" s="1"/>
    </row>
    <row r="680" customFormat="false" ht="13.8" hidden="false" customHeight="false" outlineLevel="0" collapsed="false">
      <c r="A680" s="25"/>
    </row>
    <row r="681" customFormat="false" ht="13.8" hidden="false" customHeight="false" outlineLevel="0" collapsed="false">
      <c r="A681" s="25"/>
    </row>
    <row r="682" customFormat="false" ht="13.8" hidden="false" customHeight="false" outlineLevel="0" collapsed="false">
      <c r="A682" s="25"/>
    </row>
    <row r="683" customFormat="false" ht="13.8" hidden="false" customHeight="false" outlineLevel="0" collapsed="false">
      <c r="A683" s="25"/>
    </row>
    <row r="684" customFormat="false" ht="13.8" hidden="false" customHeight="false" outlineLevel="0" collapsed="false">
      <c r="A684" s="1"/>
    </row>
    <row r="685" customFormat="false" ht="13.8" hidden="false" customHeight="false" outlineLevel="0" collapsed="false">
      <c r="A685" s="1"/>
    </row>
    <row r="686" customFormat="false" ht="13.8" hidden="false" customHeight="false" outlineLevel="0" collapsed="false">
      <c r="A686" s="25"/>
    </row>
    <row r="687" customFormat="false" ht="13.8" hidden="false" customHeight="false" outlineLevel="0" collapsed="false">
      <c r="A687" s="1"/>
    </row>
    <row r="688" customFormat="false" ht="13.8" hidden="false" customHeight="false" outlineLevel="0" collapsed="false">
      <c r="A688" s="1"/>
    </row>
    <row r="689" customFormat="false" ht="13.8" hidden="false" customHeight="false" outlineLevel="0" collapsed="false">
      <c r="A689" s="1"/>
    </row>
    <row r="690" customFormat="false" ht="13.8" hidden="false" customHeight="false" outlineLevel="0" collapsed="false">
      <c r="A690" s="1"/>
    </row>
    <row r="691" customFormat="false" ht="13.8" hidden="false" customHeight="false" outlineLevel="0" collapsed="false">
      <c r="A691" s="1"/>
    </row>
    <row r="692" customFormat="false" ht="13.8" hidden="false" customHeight="false" outlineLevel="0" collapsed="false">
      <c r="A692" s="5"/>
    </row>
    <row r="693" customFormat="false" ht="13.8" hidden="false" customHeight="false" outlineLevel="0" collapsed="false">
      <c r="A693" s="1"/>
    </row>
    <row r="694" customFormat="false" ht="13.8" hidden="false" customHeight="false" outlineLevel="0" collapsed="false">
      <c r="A694" s="1"/>
    </row>
    <row r="695" customFormat="false" ht="13.8" hidden="false" customHeight="false" outlineLevel="0" collapsed="false">
      <c r="A695" s="1"/>
    </row>
    <row r="696" customFormat="false" ht="13.8" hidden="false" customHeight="false" outlineLevel="0" collapsed="false">
      <c r="A696" s="25"/>
    </row>
    <row r="697" customFormat="false" ht="13.8" hidden="false" customHeight="false" outlineLevel="0" collapsed="false">
      <c r="A697" s="25"/>
    </row>
    <row r="698" customFormat="false" ht="13.8" hidden="false" customHeight="false" outlineLevel="0" collapsed="false">
      <c r="A698" s="25"/>
    </row>
    <row r="699" customFormat="false" ht="13.8" hidden="false" customHeight="false" outlineLevel="0" collapsed="false">
      <c r="A699" s="1"/>
    </row>
    <row r="700" customFormat="false" ht="12.8" hidden="false" customHeight="false" outlineLevel="0" collapsed="false">
      <c r="A700" s="22"/>
    </row>
    <row r="701" customFormat="false" ht="12.75" hidden="false" customHeight="true" outlineLevel="0" collapsed="false">
      <c r="A701" s="22"/>
    </row>
    <row r="702" customFormat="false" ht="13.8" hidden="false" customHeight="false" outlineLevel="0" collapsed="false">
      <c r="A702" s="1"/>
    </row>
    <row r="703" customFormat="false" ht="13.8" hidden="false" customHeight="false" outlineLevel="0" collapsed="false">
      <c r="A703" s="25"/>
    </row>
    <row r="704" customFormat="false" ht="13.8" hidden="false" customHeight="false" outlineLevel="0" collapsed="false">
      <c r="A704" s="25"/>
    </row>
    <row r="705" customFormat="false" ht="13.8" hidden="false" customHeight="false" outlineLevel="0" collapsed="false">
      <c r="A705" s="25"/>
    </row>
    <row r="706" customFormat="false" ht="13.8" hidden="false" customHeight="false" outlineLevel="0" collapsed="false">
      <c r="A706" s="25"/>
    </row>
    <row r="707" customFormat="false" ht="13.8" hidden="false" customHeight="false" outlineLevel="0" collapsed="false">
      <c r="A707" s="25"/>
    </row>
    <row r="708" customFormat="false" ht="13.8" hidden="false" customHeight="false" outlineLevel="0" collapsed="false">
      <c r="A708" s="25"/>
    </row>
    <row r="709" customFormat="false" ht="13.8" hidden="false" customHeight="false" outlineLevel="0" collapsed="false">
      <c r="A709" s="25"/>
    </row>
    <row r="710" customFormat="false" ht="13.8" hidden="false" customHeight="false" outlineLevel="0" collapsed="false">
      <c r="A710" s="25"/>
    </row>
    <row r="711" customFormat="false" ht="13.8" hidden="false" customHeight="false" outlineLevel="0" collapsed="false">
      <c r="A711" s="25"/>
    </row>
    <row r="712" customFormat="false" ht="13.8" hidden="false" customHeight="false" outlineLevel="0" collapsed="false">
      <c r="A712" s="1"/>
    </row>
    <row r="713" customFormat="false" ht="13.8" hidden="false" customHeight="false" outlineLevel="0" collapsed="false">
      <c r="A713" s="1"/>
    </row>
    <row r="714" customFormat="false" ht="13.8" hidden="false" customHeight="false" outlineLevel="0" collapsed="false">
      <c r="A714" s="1"/>
    </row>
    <row r="715" customFormat="false" ht="13.8" hidden="false" customHeight="false" outlineLevel="0" collapsed="false">
      <c r="A715" s="1"/>
    </row>
    <row r="716" customFormat="false" ht="13.8" hidden="false" customHeight="false" outlineLevel="0" collapsed="false">
      <c r="A716" s="1"/>
    </row>
    <row r="717" customFormat="false" ht="13.8" hidden="false" customHeight="false" outlineLevel="0" collapsed="false">
      <c r="A717" s="1"/>
    </row>
    <row r="718" customFormat="false" ht="13.8" hidden="false" customHeight="false" outlineLevel="0" collapsed="false">
      <c r="A718" s="1"/>
    </row>
    <row r="719" customFormat="false" ht="13.8" hidden="false" customHeight="false" outlineLevel="0" collapsed="false">
      <c r="A719" s="1"/>
    </row>
    <row r="720" customFormat="false" ht="13.8" hidden="false" customHeight="false" outlineLevel="0" collapsed="false">
      <c r="A720" s="1"/>
    </row>
    <row r="721" customFormat="false" ht="13.8" hidden="false" customHeight="false" outlineLevel="0" collapsed="false">
      <c r="A721" s="1"/>
    </row>
    <row r="722" customFormat="false" ht="13.8" hidden="false" customHeight="false" outlineLevel="0" collapsed="false">
      <c r="A722" s="1"/>
    </row>
    <row r="723" customFormat="false" ht="13.8" hidden="false" customHeight="false" outlineLevel="0" collapsed="false">
      <c r="A723" s="25"/>
    </row>
    <row r="724" customFormat="false" ht="13.8" hidden="false" customHeight="false" outlineLevel="0" collapsed="false">
      <c r="A724" s="25"/>
    </row>
    <row r="725" customFormat="false" ht="13.8" hidden="false" customHeight="false" outlineLevel="0" collapsed="false">
      <c r="A725" s="1"/>
    </row>
    <row r="726" customFormat="false" ht="13.8" hidden="false" customHeight="false" outlineLevel="0" collapsed="false">
      <c r="A726" s="25"/>
    </row>
    <row r="727" customFormat="false" ht="13.8" hidden="false" customHeight="false" outlineLevel="0" collapsed="false">
      <c r="A727" s="1"/>
    </row>
    <row r="728" customFormat="false" ht="13.8" hidden="false" customHeight="false" outlineLevel="0" collapsed="false">
      <c r="A728" s="1"/>
    </row>
    <row r="729" customFormat="false" ht="13.8" hidden="false" customHeight="false" outlineLevel="0" collapsed="false">
      <c r="A729" s="1"/>
    </row>
    <row r="730" customFormat="false" ht="13.8" hidden="false" customHeight="false" outlineLevel="0" collapsed="false">
      <c r="A730" s="1"/>
    </row>
    <row r="731" customFormat="false" ht="13.8" hidden="false" customHeight="false" outlineLevel="0" collapsed="false">
      <c r="A731" s="1"/>
    </row>
    <row r="732" customFormat="false" ht="13.8" hidden="false" customHeight="false" outlineLevel="0" collapsed="false">
      <c r="A732" s="1"/>
    </row>
    <row r="733" customFormat="false" ht="13.8" hidden="false" customHeight="false" outlineLevel="0" collapsed="false">
      <c r="A733" s="1"/>
    </row>
    <row r="734" customFormat="false" ht="13.8" hidden="false" customHeight="false" outlineLevel="0" collapsed="false">
      <c r="A734" s="1"/>
    </row>
    <row r="735" customFormat="false" ht="13.8" hidden="false" customHeight="false" outlineLevel="0" collapsed="false">
      <c r="A735" s="25"/>
    </row>
    <row r="736" customFormat="false" ht="13.8" hidden="false" customHeight="false" outlineLevel="0" collapsed="false">
      <c r="A736" s="25"/>
    </row>
    <row r="737" customFormat="false" ht="13.8" hidden="false" customHeight="false" outlineLevel="0" collapsed="false">
      <c r="A737" s="25"/>
    </row>
    <row r="738" customFormat="false" ht="13.8" hidden="false" customHeight="false" outlineLevel="0" collapsed="false">
      <c r="A738" s="25"/>
    </row>
    <row r="739" customFormat="false" ht="13.8" hidden="false" customHeight="false" outlineLevel="0" collapsed="false">
      <c r="A739" s="25"/>
    </row>
    <row r="740" customFormat="false" ht="13.8" hidden="false" customHeight="false" outlineLevel="0" collapsed="false">
      <c r="A740" s="25"/>
    </row>
    <row r="741" customFormat="false" ht="13.8" hidden="false" customHeight="false" outlineLevel="0" collapsed="false">
      <c r="A741" s="25"/>
    </row>
    <row r="742" customFormat="false" ht="13.8" hidden="false" customHeight="false" outlineLevel="0" collapsed="false">
      <c r="A742" s="25"/>
    </row>
    <row r="743" customFormat="false" ht="13.8" hidden="false" customHeight="false" outlineLevel="0" collapsed="false">
      <c r="A743" s="25"/>
    </row>
    <row r="744" customFormat="false" ht="13.8" hidden="false" customHeight="false" outlineLevel="0" collapsed="false">
      <c r="A744" s="25"/>
    </row>
    <row r="745" customFormat="false" ht="13.8" hidden="false" customHeight="false" outlineLevel="0" collapsed="false">
      <c r="A745" s="25"/>
    </row>
    <row r="746" customFormat="false" ht="13.8" hidden="false" customHeight="false" outlineLevel="0" collapsed="false">
      <c r="A746" s="1"/>
    </row>
    <row r="747" customFormat="false" ht="13.8" hidden="false" customHeight="false" outlineLevel="0" collapsed="false">
      <c r="A747" s="1"/>
    </row>
    <row r="748" customFormat="false" ht="13.8" hidden="false" customHeight="false" outlineLevel="0" collapsed="false">
      <c r="A748" s="25"/>
    </row>
    <row r="749" customFormat="false" ht="13.8" hidden="false" customHeight="false" outlineLevel="0" collapsed="false">
      <c r="A749" s="1"/>
    </row>
    <row r="750" customFormat="false" ht="13.8" hidden="false" customHeight="false" outlineLevel="0" collapsed="false">
      <c r="A750" s="25"/>
    </row>
    <row r="751" customFormat="false" ht="13.8" hidden="false" customHeight="false" outlineLevel="0" collapsed="false">
      <c r="A751" s="25"/>
    </row>
    <row r="752" customFormat="false" ht="13.8" hidden="false" customHeight="false" outlineLevel="0" collapsed="false">
      <c r="A752" s="25"/>
    </row>
    <row r="753" customFormat="false" ht="13.8" hidden="false" customHeight="false" outlineLevel="0" collapsed="false">
      <c r="A753" s="25"/>
    </row>
    <row r="754" customFormat="false" ht="13.8" hidden="false" customHeight="false" outlineLevel="0" collapsed="false">
      <c r="A754" s="1"/>
    </row>
    <row r="755" customFormat="false" ht="13.8" hidden="false" customHeight="false" outlineLevel="0" collapsed="false">
      <c r="A755" s="1"/>
    </row>
    <row r="756" customFormat="false" ht="13.8" hidden="false" customHeight="false" outlineLevel="0" collapsed="false">
      <c r="A756" s="25"/>
    </row>
    <row r="757" customFormat="false" ht="13.8" hidden="false" customHeight="false" outlineLevel="0" collapsed="false">
      <c r="A757" s="1"/>
    </row>
    <row r="758" customFormat="false" ht="13.8" hidden="false" customHeight="false" outlineLevel="0" collapsed="false">
      <c r="A758" s="1"/>
    </row>
    <row r="759" customFormat="false" ht="13.8" hidden="false" customHeight="false" outlineLevel="0" collapsed="false">
      <c r="A759" s="1"/>
    </row>
    <row r="760" customFormat="false" ht="13.8" hidden="false" customHeight="false" outlineLevel="0" collapsed="false">
      <c r="A760" s="1"/>
    </row>
    <row r="761" customFormat="false" ht="13.8" hidden="false" customHeight="false" outlineLevel="0" collapsed="false">
      <c r="A761" s="1"/>
    </row>
    <row r="762" customFormat="false" ht="13.8" hidden="false" customHeight="false" outlineLevel="0" collapsed="false">
      <c r="A762" s="5"/>
    </row>
    <row r="763" customFormat="false" ht="13.8" hidden="false" customHeight="false" outlineLevel="0" collapsed="false">
      <c r="A763" s="1"/>
    </row>
    <row r="764" customFormat="false" ht="13.8" hidden="false" customHeight="false" outlineLevel="0" collapsed="false">
      <c r="A764" s="1"/>
    </row>
    <row r="765" customFormat="false" ht="13.8" hidden="false" customHeight="false" outlineLevel="0" collapsed="false">
      <c r="A765" s="1"/>
    </row>
    <row r="766" customFormat="false" ht="13.8" hidden="false" customHeight="false" outlineLevel="0" collapsed="false">
      <c r="A766" s="25"/>
    </row>
    <row r="767" customFormat="false" ht="13.8" hidden="false" customHeight="false" outlineLevel="0" collapsed="false">
      <c r="A767" s="25"/>
    </row>
    <row r="768" customFormat="false" ht="13.8" hidden="false" customHeight="false" outlineLevel="0" collapsed="false">
      <c r="A768" s="25"/>
    </row>
    <row r="769" customFormat="false" ht="13.8" hidden="false" customHeight="false" outlineLevel="0" collapsed="false">
      <c r="A769" s="1"/>
    </row>
    <row r="770" customFormat="false" ht="12.8" hidden="false" customHeight="false" outlineLevel="0" collapsed="false">
      <c r="A770" s="22"/>
    </row>
    <row r="771" customFormat="false" ht="12.75" hidden="false" customHeight="true" outlineLevel="0" collapsed="false">
      <c r="A771" s="22"/>
    </row>
    <row r="772" customFormat="false" ht="13.8" hidden="false" customHeight="false" outlineLevel="0" collapsed="false">
      <c r="A772" s="1"/>
    </row>
    <row r="773" customFormat="false" ht="13.8" hidden="false" customHeight="false" outlineLevel="0" collapsed="false">
      <c r="A773" s="25"/>
    </row>
    <row r="774" customFormat="false" ht="13.8" hidden="false" customHeight="false" outlineLevel="0" collapsed="false">
      <c r="A774" s="25"/>
    </row>
    <row r="775" customFormat="false" ht="13.8" hidden="false" customHeight="false" outlineLevel="0" collapsed="false">
      <c r="A775" s="25"/>
    </row>
    <row r="776" customFormat="false" ht="13.8" hidden="false" customHeight="false" outlineLevel="0" collapsed="false">
      <c r="A776" s="25"/>
    </row>
    <row r="777" customFormat="false" ht="13.8" hidden="false" customHeight="false" outlineLevel="0" collapsed="false">
      <c r="A777" s="25"/>
    </row>
    <row r="778" customFormat="false" ht="13.8" hidden="false" customHeight="false" outlineLevel="0" collapsed="false">
      <c r="A778" s="25"/>
    </row>
    <row r="779" customFormat="false" ht="13.8" hidden="false" customHeight="false" outlineLevel="0" collapsed="false">
      <c r="A779" s="25"/>
    </row>
    <row r="780" customFormat="false" ht="13.8" hidden="false" customHeight="false" outlineLevel="0" collapsed="false">
      <c r="A780" s="25"/>
    </row>
    <row r="781" customFormat="false" ht="13.8" hidden="false" customHeight="false" outlineLevel="0" collapsed="false">
      <c r="A781" s="25"/>
    </row>
    <row r="782" customFormat="false" ht="13.8" hidden="false" customHeight="false" outlineLevel="0" collapsed="false">
      <c r="A782" s="1"/>
    </row>
    <row r="783" customFormat="false" ht="13.8" hidden="false" customHeight="false" outlineLevel="0" collapsed="false">
      <c r="A783" s="1"/>
    </row>
    <row r="784" customFormat="false" ht="13.8" hidden="false" customHeight="false" outlineLevel="0" collapsed="false">
      <c r="A784" s="1"/>
    </row>
    <row r="785" customFormat="false" ht="13.8" hidden="false" customHeight="false" outlineLevel="0" collapsed="false">
      <c r="A785" s="1"/>
    </row>
    <row r="786" customFormat="false" ht="13.8" hidden="false" customHeight="false" outlineLevel="0" collapsed="false">
      <c r="A786" s="1"/>
    </row>
    <row r="787" customFormat="false" ht="13.8" hidden="false" customHeight="false" outlineLevel="0" collapsed="false">
      <c r="A787" s="1"/>
    </row>
    <row r="788" customFormat="false" ht="13.8" hidden="false" customHeight="false" outlineLevel="0" collapsed="false">
      <c r="A788" s="1"/>
    </row>
    <row r="789" customFormat="false" ht="13.8" hidden="false" customHeight="false" outlineLevel="0" collapsed="false">
      <c r="A789" s="1"/>
    </row>
    <row r="790" customFormat="false" ht="13.8" hidden="false" customHeight="false" outlineLevel="0" collapsed="false">
      <c r="A790" s="1"/>
    </row>
    <row r="791" customFormat="false" ht="13.8" hidden="false" customHeight="false" outlineLevel="0" collapsed="false">
      <c r="A791" s="1"/>
    </row>
    <row r="792" customFormat="false" ht="13.8" hidden="false" customHeight="false" outlineLevel="0" collapsed="false">
      <c r="A792" s="1"/>
    </row>
    <row r="793" customFormat="false" ht="13.8" hidden="false" customHeight="false" outlineLevel="0" collapsed="false">
      <c r="A793" s="25"/>
    </row>
    <row r="794" customFormat="false" ht="13.8" hidden="false" customHeight="false" outlineLevel="0" collapsed="false">
      <c r="A794" s="25"/>
    </row>
    <row r="795" customFormat="false" ht="13.8" hidden="false" customHeight="false" outlineLevel="0" collapsed="false">
      <c r="A795" s="1"/>
    </row>
    <row r="796" customFormat="false" ht="13.8" hidden="false" customHeight="false" outlineLevel="0" collapsed="false">
      <c r="A796" s="25"/>
    </row>
    <row r="797" customFormat="false" ht="13.8" hidden="false" customHeight="false" outlineLevel="0" collapsed="false">
      <c r="A797" s="1"/>
    </row>
    <row r="798" customFormat="false" ht="13.8" hidden="false" customHeight="false" outlineLevel="0" collapsed="false">
      <c r="A798" s="1"/>
    </row>
    <row r="799" customFormat="false" ht="13.8" hidden="false" customHeight="false" outlineLevel="0" collapsed="false">
      <c r="A799" s="1"/>
    </row>
    <row r="800" customFormat="false" ht="13.8" hidden="false" customHeight="false" outlineLevel="0" collapsed="false">
      <c r="A800" s="1"/>
    </row>
    <row r="801" customFormat="false" ht="13.8" hidden="false" customHeight="false" outlineLevel="0" collapsed="false">
      <c r="A801" s="1"/>
    </row>
    <row r="802" customFormat="false" ht="13.8" hidden="false" customHeight="false" outlineLevel="0" collapsed="false">
      <c r="A802" s="1"/>
    </row>
    <row r="803" customFormat="false" ht="13.8" hidden="false" customHeight="false" outlineLevel="0" collapsed="false">
      <c r="A803" s="1"/>
    </row>
    <row r="804" customFormat="false" ht="13.8" hidden="false" customHeight="false" outlineLevel="0" collapsed="false">
      <c r="A804" s="1"/>
    </row>
    <row r="805" customFormat="false" ht="13.8" hidden="false" customHeight="false" outlineLevel="0" collapsed="false">
      <c r="A805" s="25"/>
    </row>
    <row r="806" customFormat="false" ht="13.8" hidden="false" customHeight="false" outlineLevel="0" collapsed="false">
      <c r="A806" s="25"/>
    </row>
    <row r="807" customFormat="false" ht="13.8" hidden="false" customHeight="false" outlineLevel="0" collapsed="false">
      <c r="A807" s="25"/>
    </row>
    <row r="808" customFormat="false" ht="13.8" hidden="false" customHeight="false" outlineLevel="0" collapsed="false">
      <c r="A808" s="25"/>
    </row>
    <row r="809" customFormat="false" ht="13.8" hidden="false" customHeight="false" outlineLevel="0" collapsed="false">
      <c r="A809" s="25"/>
    </row>
    <row r="810" customFormat="false" ht="13.8" hidden="false" customHeight="false" outlineLevel="0" collapsed="false">
      <c r="A810" s="25"/>
    </row>
    <row r="811" customFormat="false" ht="13.8" hidden="false" customHeight="false" outlineLevel="0" collapsed="false">
      <c r="A811" s="25"/>
    </row>
    <row r="812" customFormat="false" ht="13.8" hidden="false" customHeight="false" outlineLevel="0" collapsed="false">
      <c r="A812" s="25"/>
    </row>
    <row r="813" customFormat="false" ht="13.8" hidden="false" customHeight="false" outlineLevel="0" collapsed="false">
      <c r="A813" s="25"/>
    </row>
    <row r="814" customFormat="false" ht="13.8" hidden="false" customHeight="false" outlineLevel="0" collapsed="false">
      <c r="A814" s="25"/>
    </row>
    <row r="815" customFormat="false" ht="13.8" hidden="false" customHeight="false" outlineLevel="0" collapsed="false">
      <c r="A815" s="25"/>
    </row>
    <row r="816" customFormat="false" ht="13.8" hidden="false" customHeight="false" outlineLevel="0" collapsed="false">
      <c r="A816" s="1"/>
    </row>
    <row r="817" customFormat="false" ht="13.8" hidden="false" customHeight="false" outlineLevel="0" collapsed="false">
      <c r="A817" s="1"/>
    </row>
    <row r="818" customFormat="false" ht="13.8" hidden="false" customHeight="false" outlineLevel="0" collapsed="false">
      <c r="A818" s="25"/>
    </row>
    <row r="819" customFormat="false" ht="13.8" hidden="false" customHeight="false" outlineLevel="0" collapsed="false">
      <c r="A819" s="1"/>
    </row>
    <row r="820" customFormat="false" ht="13.8" hidden="false" customHeight="false" outlineLevel="0" collapsed="false">
      <c r="A820" s="25"/>
    </row>
    <row r="821" customFormat="false" ht="13.8" hidden="false" customHeight="false" outlineLevel="0" collapsed="false">
      <c r="A821" s="25"/>
    </row>
    <row r="822" customFormat="false" ht="13.8" hidden="false" customHeight="false" outlineLevel="0" collapsed="false">
      <c r="A822" s="25"/>
    </row>
    <row r="823" customFormat="false" ht="13.8" hidden="false" customHeight="false" outlineLevel="0" collapsed="false">
      <c r="A823" s="25"/>
    </row>
    <row r="824" customFormat="false" ht="13.8" hidden="false" customHeight="false" outlineLevel="0" collapsed="false">
      <c r="A824" s="1"/>
    </row>
    <row r="825" customFormat="false" ht="13.8" hidden="false" customHeight="false" outlineLevel="0" collapsed="false">
      <c r="A825" s="1"/>
    </row>
    <row r="826" customFormat="false" ht="13.8" hidden="false" customHeight="false" outlineLevel="0" collapsed="false">
      <c r="A826" s="25"/>
    </row>
    <row r="827" customFormat="false" ht="13.8" hidden="false" customHeight="false" outlineLevel="0" collapsed="false">
      <c r="A827" s="1"/>
    </row>
    <row r="828" customFormat="false" ht="13.8" hidden="false" customHeight="false" outlineLevel="0" collapsed="false">
      <c r="A828" s="1"/>
    </row>
    <row r="829" customFormat="false" ht="13.8" hidden="false" customHeight="false" outlineLevel="0" collapsed="false">
      <c r="A829" s="1"/>
    </row>
    <row r="830" customFormat="false" ht="13.8" hidden="false" customHeight="false" outlineLevel="0" collapsed="false">
      <c r="A830" s="1"/>
    </row>
    <row r="831" customFormat="false" ht="13.8" hidden="false" customHeight="false" outlineLevel="0" collapsed="false">
      <c r="A831" s="1"/>
    </row>
    <row r="832" customFormat="false" ht="13.8" hidden="false" customHeight="false" outlineLevel="0" collapsed="false">
      <c r="A832" s="5"/>
    </row>
    <row r="833" customFormat="false" ht="13.8" hidden="false" customHeight="false" outlineLevel="0" collapsed="false">
      <c r="A833" s="1"/>
    </row>
    <row r="834" customFormat="false" ht="13.8" hidden="false" customHeight="false" outlineLevel="0" collapsed="false">
      <c r="A834" s="1"/>
    </row>
    <row r="835" customFormat="false" ht="13.8" hidden="false" customHeight="false" outlineLevel="0" collapsed="false">
      <c r="A835" s="1"/>
    </row>
    <row r="836" customFormat="false" ht="13.8" hidden="false" customHeight="false" outlineLevel="0" collapsed="false">
      <c r="A836" s="25"/>
    </row>
    <row r="837" customFormat="false" ht="13.8" hidden="false" customHeight="false" outlineLevel="0" collapsed="false">
      <c r="A837" s="25"/>
    </row>
    <row r="838" customFormat="false" ht="13.8" hidden="false" customHeight="false" outlineLevel="0" collapsed="false">
      <c r="A838" s="25"/>
    </row>
    <row r="839" customFormat="false" ht="13.8" hidden="false" customHeight="false" outlineLevel="0" collapsed="false">
      <c r="A839" s="1"/>
    </row>
    <row r="840" customFormat="false" ht="12.8" hidden="false" customHeight="false" outlineLevel="0" collapsed="false">
      <c r="A840" s="22"/>
    </row>
    <row r="841" customFormat="false" ht="12.75" hidden="false" customHeight="true" outlineLevel="0" collapsed="false">
      <c r="A841" s="22"/>
    </row>
    <row r="842" customFormat="false" ht="13.8" hidden="false" customHeight="false" outlineLevel="0" collapsed="false">
      <c r="A842" s="1"/>
    </row>
    <row r="843" customFormat="false" ht="13.8" hidden="false" customHeight="false" outlineLevel="0" collapsed="false">
      <c r="A843" s="25"/>
    </row>
    <row r="844" customFormat="false" ht="13.8" hidden="false" customHeight="false" outlineLevel="0" collapsed="false">
      <c r="A844" s="25"/>
    </row>
    <row r="845" customFormat="false" ht="13.8" hidden="false" customHeight="false" outlineLevel="0" collapsed="false">
      <c r="A845" s="25"/>
    </row>
    <row r="846" customFormat="false" ht="13.8" hidden="false" customHeight="false" outlineLevel="0" collapsed="false">
      <c r="A846" s="25"/>
    </row>
    <row r="847" customFormat="false" ht="13.8" hidden="false" customHeight="false" outlineLevel="0" collapsed="false">
      <c r="A847" s="25"/>
    </row>
    <row r="848" customFormat="false" ht="13.8" hidden="false" customHeight="false" outlineLevel="0" collapsed="false">
      <c r="A848" s="25"/>
    </row>
    <row r="849" customFormat="false" ht="13.8" hidden="false" customHeight="false" outlineLevel="0" collapsed="false">
      <c r="A849" s="25"/>
    </row>
    <row r="850" customFormat="false" ht="13.8" hidden="false" customHeight="false" outlineLevel="0" collapsed="false">
      <c r="A850" s="25"/>
    </row>
    <row r="851" customFormat="false" ht="13.8" hidden="false" customHeight="false" outlineLevel="0" collapsed="false">
      <c r="A851" s="25"/>
    </row>
    <row r="852" customFormat="false" ht="13.8" hidden="false" customHeight="false" outlineLevel="0" collapsed="false">
      <c r="A852" s="1"/>
    </row>
    <row r="853" customFormat="false" ht="13.8" hidden="false" customHeight="false" outlineLevel="0" collapsed="false">
      <c r="A853" s="1"/>
    </row>
    <row r="854" customFormat="false" ht="13.8" hidden="false" customHeight="false" outlineLevel="0" collapsed="false">
      <c r="A854" s="1"/>
    </row>
    <row r="855" customFormat="false" ht="13.8" hidden="false" customHeight="false" outlineLevel="0" collapsed="false">
      <c r="A855" s="1"/>
    </row>
    <row r="856" customFormat="false" ht="13.8" hidden="false" customHeight="false" outlineLevel="0" collapsed="false">
      <c r="A856" s="1"/>
    </row>
    <row r="857" customFormat="false" ht="13.8" hidden="false" customHeight="false" outlineLevel="0" collapsed="false">
      <c r="A857" s="1"/>
    </row>
    <row r="858" customFormat="false" ht="13.8" hidden="false" customHeight="false" outlineLevel="0" collapsed="false">
      <c r="A858" s="1"/>
    </row>
    <row r="859" customFormat="false" ht="13.8" hidden="false" customHeight="false" outlineLevel="0" collapsed="false">
      <c r="A859" s="1"/>
    </row>
    <row r="860" customFormat="false" ht="13.8" hidden="false" customHeight="false" outlineLevel="0" collapsed="false">
      <c r="A860" s="1"/>
    </row>
    <row r="861" customFormat="false" ht="13.8" hidden="false" customHeight="false" outlineLevel="0" collapsed="false">
      <c r="A861" s="1"/>
    </row>
    <row r="862" customFormat="false" ht="13.8" hidden="false" customHeight="false" outlineLevel="0" collapsed="false">
      <c r="A862" s="1"/>
    </row>
    <row r="863" customFormat="false" ht="13.8" hidden="false" customHeight="false" outlineLevel="0" collapsed="false">
      <c r="A863" s="25"/>
    </row>
    <row r="864" customFormat="false" ht="13.8" hidden="false" customHeight="false" outlineLevel="0" collapsed="false">
      <c r="A864" s="25"/>
    </row>
    <row r="865" customFormat="false" ht="13.8" hidden="false" customHeight="false" outlineLevel="0" collapsed="false">
      <c r="A865" s="1"/>
    </row>
    <row r="866" customFormat="false" ht="13.8" hidden="false" customHeight="false" outlineLevel="0" collapsed="false">
      <c r="A866" s="25"/>
    </row>
    <row r="867" customFormat="false" ht="13.8" hidden="false" customHeight="false" outlineLevel="0" collapsed="false">
      <c r="A867" s="1"/>
    </row>
    <row r="868" customFormat="false" ht="13.8" hidden="false" customHeight="false" outlineLevel="0" collapsed="false">
      <c r="A868" s="1"/>
    </row>
    <row r="869" customFormat="false" ht="13.8" hidden="false" customHeight="false" outlineLevel="0" collapsed="false">
      <c r="A869" s="1"/>
    </row>
    <row r="870" customFormat="false" ht="13.8" hidden="false" customHeight="false" outlineLevel="0" collapsed="false">
      <c r="A870" s="1"/>
    </row>
    <row r="871" customFormat="false" ht="13.8" hidden="false" customHeight="false" outlineLevel="0" collapsed="false">
      <c r="A871" s="1"/>
    </row>
    <row r="872" customFormat="false" ht="13.8" hidden="false" customHeight="false" outlineLevel="0" collapsed="false">
      <c r="A872" s="1"/>
    </row>
    <row r="873" customFormat="false" ht="13.8" hidden="false" customHeight="false" outlineLevel="0" collapsed="false">
      <c r="A873" s="1"/>
    </row>
    <row r="874" customFormat="false" ht="13.8" hidden="false" customHeight="false" outlineLevel="0" collapsed="false">
      <c r="A874" s="1"/>
    </row>
    <row r="875" customFormat="false" ht="13.8" hidden="false" customHeight="false" outlineLevel="0" collapsed="false">
      <c r="A875" s="25"/>
    </row>
    <row r="876" customFormat="false" ht="13.8" hidden="false" customHeight="false" outlineLevel="0" collapsed="false">
      <c r="A876" s="25"/>
    </row>
    <row r="877" customFormat="false" ht="13.8" hidden="false" customHeight="false" outlineLevel="0" collapsed="false">
      <c r="A877" s="25"/>
    </row>
    <row r="878" customFormat="false" ht="13.8" hidden="false" customHeight="false" outlineLevel="0" collapsed="false">
      <c r="A878" s="25"/>
    </row>
    <row r="879" customFormat="false" ht="13.8" hidden="false" customHeight="false" outlineLevel="0" collapsed="false">
      <c r="A879" s="25"/>
    </row>
    <row r="880" customFormat="false" ht="13.8" hidden="false" customHeight="false" outlineLevel="0" collapsed="false">
      <c r="A880" s="25"/>
    </row>
    <row r="881" customFormat="false" ht="13.8" hidden="false" customHeight="false" outlineLevel="0" collapsed="false">
      <c r="A881" s="25"/>
    </row>
    <row r="882" customFormat="false" ht="13.8" hidden="false" customHeight="false" outlineLevel="0" collapsed="false">
      <c r="A882" s="25"/>
    </row>
    <row r="883" customFormat="false" ht="13.8" hidden="false" customHeight="false" outlineLevel="0" collapsed="false">
      <c r="A883" s="25"/>
    </row>
    <row r="884" customFormat="false" ht="13.8" hidden="false" customHeight="false" outlineLevel="0" collapsed="false">
      <c r="A884" s="25"/>
    </row>
    <row r="885" customFormat="false" ht="13.8" hidden="false" customHeight="false" outlineLevel="0" collapsed="false">
      <c r="A885" s="25"/>
    </row>
    <row r="886" customFormat="false" ht="13.8" hidden="false" customHeight="false" outlineLevel="0" collapsed="false">
      <c r="A886" s="1"/>
    </row>
    <row r="887" customFormat="false" ht="13.8" hidden="false" customHeight="false" outlineLevel="0" collapsed="false">
      <c r="A887" s="1"/>
    </row>
    <row r="888" customFormat="false" ht="13.8" hidden="false" customHeight="false" outlineLevel="0" collapsed="false">
      <c r="A888" s="25"/>
    </row>
    <row r="889" customFormat="false" ht="13.8" hidden="false" customHeight="false" outlineLevel="0" collapsed="false">
      <c r="A889" s="1"/>
    </row>
    <row r="890" customFormat="false" ht="13.8" hidden="false" customHeight="false" outlineLevel="0" collapsed="false">
      <c r="A890" s="25"/>
    </row>
    <row r="891" customFormat="false" ht="13.8" hidden="false" customHeight="false" outlineLevel="0" collapsed="false">
      <c r="A891" s="25"/>
    </row>
    <row r="892" customFormat="false" ht="13.8" hidden="false" customHeight="false" outlineLevel="0" collapsed="false">
      <c r="A892" s="25"/>
    </row>
    <row r="893" customFormat="false" ht="13.8" hidden="false" customHeight="false" outlineLevel="0" collapsed="false">
      <c r="A893" s="25"/>
    </row>
    <row r="894" customFormat="false" ht="13.8" hidden="false" customHeight="false" outlineLevel="0" collapsed="false">
      <c r="A894" s="1"/>
    </row>
    <row r="895" customFormat="false" ht="13.8" hidden="false" customHeight="false" outlineLevel="0" collapsed="false">
      <c r="A895" s="1"/>
    </row>
    <row r="896" customFormat="false" ht="13.8" hidden="false" customHeight="false" outlineLevel="0" collapsed="false">
      <c r="A896" s="25"/>
    </row>
    <row r="897" customFormat="false" ht="13.8" hidden="false" customHeight="false" outlineLevel="0" collapsed="false">
      <c r="A897" s="1"/>
    </row>
    <row r="898" customFormat="false" ht="13.8" hidden="false" customHeight="false" outlineLevel="0" collapsed="false">
      <c r="A898" s="1"/>
    </row>
    <row r="899" customFormat="false" ht="13.8" hidden="false" customHeight="false" outlineLevel="0" collapsed="false">
      <c r="A899" s="1"/>
    </row>
    <row r="900" customFormat="false" ht="13.8" hidden="false" customHeight="false" outlineLevel="0" collapsed="false">
      <c r="A900" s="1"/>
    </row>
    <row r="901" customFormat="false" ht="13.8" hidden="false" customHeight="false" outlineLevel="0" collapsed="false">
      <c r="A901" s="1"/>
    </row>
    <row r="902" customFormat="false" ht="13.8" hidden="false" customHeight="false" outlineLevel="0" collapsed="false">
      <c r="A902" s="5"/>
    </row>
    <row r="903" customFormat="false" ht="13.8" hidden="false" customHeight="false" outlineLevel="0" collapsed="false">
      <c r="A903" s="1"/>
    </row>
    <row r="904" customFormat="false" ht="13.8" hidden="false" customHeight="false" outlineLevel="0" collapsed="false">
      <c r="A904" s="1"/>
    </row>
    <row r="905" customFormat="false" ht="13.8" hidden="false" customHeight="false" outlineLevel="0" collapsed="false">
      <c r="A905" s="1"/>
    </row>
    <row r="906" customFormat="false" ht="13.8" hidden="false" customHeight="false" outlineLevel="0" collapsed="false">
      <c r="A906" s="25"/>
    </row>
    <row r="907" customFormat="false" ht="13.8" hidden="false" customHeight="false" outlineLevel="0" collapsed="false">
      <c r="A907" s="25"/>
    </row>
    <row r="908" customFormat="false" ht="13.8" hidden="false" customHeight="false" outlineLevel="0" collapsed="false">
      <c r="A908" s="25"/>
    </row>
    <row r="909" customFormat="false" ht="13.8" hidden="false" customHeight="false" outlineLevel="0" collapsed="false">
      <c r="A909" s="1"/>
    </row>
    <row r="910" customFormat="false" ht="12.8" hidden="false" customHeight="false" outlineLevel="0" collapsed="false">
      <c r="A910" s="22"/>
    </row>
    <row r="911" customFormat="false" ht="12.75" hidden="false" customHeight="true" outlineLevel="0" collapsed="false">
      <c r="A911" s="22"/>
    </row>
    <row r="912" customFormat="false" ht="13.8" hidden="false" customHeight="false" outlineLevel="0" collapsed="false">
      <c r="A912" s="1"/>
    </row>
    <row r="913" customFormat="false" ht="13.8" hidden="false" customHeight="false" outlineLevel="0" collapsed="false">
      <c r="A913" s="25"/>
    </row>
    <row r="914" customFormat="false" ht="13.8" hidden="false" customHeight="false" outlineLevel="0" collapsed="false">
      <c r="A914" s="25"/>
    </row>
    <row r="915" customFormat="false" ht="13.8" hidden="false" customHeight="false" outlineLevel="0" collapsed="false">
      <c r="A915" s="25"/>
    </row>
    <row r="916" customFormat="false" ht="13.8" hidden="false" customHeight="false" outlineLevel="0" collapsed="false">
      <c r="A916" s="25"/>
    </row>
    <row r="917" customFormat="false" ht="13.8" hidden="false" customHeight="false" outlineLevel="0" collapsed="false">
      <c r="A917" s="25"/>
    </row>
    <row r="918" customFormat="false" ht="13.8" hidden="false" customHeight="false" outlineLevel="0" collapsed="false">
      <c r="A918" s="25"/>
    </row>
    <row r="919" customFormat="false" ht="13.8" hidden="false" customHeight="false" outlineLevel="0" collapsed="false">
      <c r="A919" s="25"/>
    </row>
    <row r="920" customFormat="false" ht="13.8" hidden="false" customHeight="false" outlineLevel="0" collapsed="false">
      <c r="A920" s="25"/>
    </row>
    <row r="921" customFormat="false" ht="13.8" hidden="false" customHeight="false" outlineLevel="0" collapsed="false">
      <c r="A921" s="25"/>
    </row>
    <row r="922" customFormat="false" ht="13.8" hidden="false" customHeight="false" outlineLevel="0" collapsed="false">
      <c r="A922" s="1"/>
    </row>
    <row r="923" customFormat="false" ht="13.8" hidden="false" customHeight="false" outlineLevel="0" collapsed="false">
      <c r="A923" s="1"/>
    </row>
    <row r="924" customFormat="false" ht="13.8" hidden="false" customHeight="false" outlineLevel="0" collapsed="false">
      <c r="A924" s="1"/>
    </row>
    <row r="925" customFormat="false" ht="13.8" hidden="false" customHeight="false" outlineLevel="0" collapsed="false">
      <c r="A925" s="1"/>
    </row>
    <row r="926" customFormat="false" ht="13.8" hidden="false" customHeight="false" outlineLevel="0" collapsed="false">
      <c r="A926" s="1"/>
    </row>
    <row r="927" customFormat="false" ht="13.8" hidden="false" customHeight="false" outlineLevel="0" collapsed="false">
      <c r="A927" s="1"/>
    </row>
    <row r="928" customFormat="false" ht="13.8" hidden="false" customHeight="false" outlineLevel="0" collapsed="false">
      <c r="A928" s="1"/>
    </row>
    <row r="929" customFormat="false" ht="13.8" hidden="false" customHeight="false" outlineLevel="0" collapsed="false">
      <c r="A929" s="1"/>
    </row>
    <row r="930" customFormat="false" ht="13.8" hidden="false" customHeight="false" outlineLevel="0" collapsed="false">
      <c r="A930" s="1"/>
    </row>
    <row r="931" customFormat="false" ht="13.8" hidden="false" customHeight="false" outlineLevel="0" collapsed="false">
      <c r="A931" s="1"/>
    </row>
    <row r="932" customFormat="false" ht="13.8" hidden="false" customHeight="false" outlineLevel="0" collapsed="false">
      <c r="A932" s="1"/>
    </row>
    <row r="933" customFormat="false" ht="13.8" hidden="false" customHeight="false" outlineLevel="0" collapsed="false">
      <c r="A933" s="25"/>
    </row>
    <row r="934" customFormat="false" ht="13.8" hidden="false" customHeight="false" outlineLevel="0" collapsed="false">
      <c r="A934" s="25"/>
    </row>
    <row r="935" customFormat="false" ht="13.8" hidden="false" customHeight="false" outlineLevel="0" collapsed="false">
      <c r="A935" s="1"/>
    </row>
    <row r="936" customFormat="false" ht="13.8" hidden="false" customHeight="false" outlineLevel="0" collapsed="false">
      <c r="A936" s="25"/>
    </row>
    <row r="937" customFormat="false" ht="13.8" hidden="false" customHeight="false" outlineLevel="0" collapsed="false">
      <c r="A937" s="1"/>
    </row>
    <row r="938" customFormat="false" ht="13.8" hidden="false" customHeight="false" outlineLevel="0" collapsed="false">
      <c r="A938" s="1"/>
    </row>
    <row r="939" customFormat="false" ht="13.8" hidden="false" customHeight="false" outlineLevel="0" collapsed="false">
      <c r="A939" s="1"/>
    </row>
    <row r="940" customFormat="false" ht="13.8" hidden="false" customHeight="false" outlineLevel="0" collapsed="false">
      <c r="A940" s="1"/>
    </row>
    <row r="941" customFormat="false" ht="13.8" hidden="false" customHeight="false" outlineLevel="0" collapsed="false">
      <c r="A941" s="1"/>
    </row>
    <row r="942" customFormat="false" ht="13.8" hidden="false" customHeight="false" outlineLevel="0" collapsed="false">
      <c r="A942" s="1"/>
    </row>
    <row r="943" customFormat="false" ht="13.8" hidden="false" customHeight="false" outlineLevel="0" collapsed="false">
      <c r="A943" s="1"/>
    </row>
    <row r="944" customFormat="false" ht="13.8" hidden="false" customHeight="false" outlineLevel="0" collapsed="false">
      <c r="A944" s="1"/>
    </row>
    <row r="945" customFormat="false" ht="13.8" hidden="false" customHeight="false" outlineLevel="0" collapsed="false">
      <c r="A945" s="25"/>
    </row>
    <row r="946" customFormat="false" ht="13.8" hidden="false" customHeight="false" outlineLevel="0" collapsed="false">
      <c r="A946" s="25"/>
    </row>
    <row r="947" customFormat="false" ht="13.8" hidden="false" customHeight="false" outlineLevel="0" collapsed="false">
      <c r="A947" s="25"/>
    </row>
    <row r="948" customFormat="false" ht="13.8" hidden="false" customHeight="false" outlineLevel="0" collapsed="false">
      <c r="A948" s="25"/>
    </row>
    <row r="949" customFormat="false" ht="13.8" hidden="false" customHeight="false" outlineLevel="0" collapsed="false">
      <c r="A949" s="25"/>
    </row>
    <row r="950" customFormat="false" ht="13.8" hidden="false" customHeight="false" outlineLevel="0" collapsed="false">
      <c r="A950" s="25"/>
    </row>
    <row r="951" customFormat="false" ht="13.8" hidden="false" customHeight="false" outlineLevel="0" collapsed="false">
      <c r="A951" s="25"/>
    </row>
    <row r="952" customFormat="false" ht="13.8" hidden="false" customHeight="false" outlineLevel="0" collapsed="false">
      <c r="A952" s="25"/>
    </row>
    <row r="953" customFormat="false" ht="13.8" hidden="false" customHeight="false" outlineLevel="0" collapsed="false">
      <c r="A953" s="25"/>
    </row>
    <row r="954" customFormat="false" ht="13.8" hidden="false" customHeight="false" outlineLevel="0" collapsed="false">
      <c r="A954" s="25"/>
    </row>
    <row r="955" customFormat="false" ht="13.8" hidden="false" customHeight="false" outlineLevel="0" collapsed="false">
      <c r="A955" s="25"/>
    </row>
    <row r="956" customFormat="false" ht="13.8" hidden="false" customHeight="false" outlineLevel="0" collapsed="false">
      <c r="A956" s="1"/>
    </row>
    <row r="957" customFormat="false" ht="13.8" hidden="false" customHeight="false" outlineLevel="0" collapsed="false">
      <c r="A957" s="1"/>
    </row>
    <row r="958" customFormat="false" ht="13.8" hidden="false" customHeight="false" outlineLevel="0" collapsed="false">
      <c r="A958" s="25"/>
    </row>
    <row r="959" customFormat="false" ht="13.8" hidden="false" customHeight="false" outlineLevel="0" collapsed="false">
      <c r="A959" s="1"/>
    </row>
    <row r="960" customFormat="false" ht="13.8" hidden="false" customHeight="false" outlineLevel="0" collapsed="false">
      <c r="A960" s="25"/>
    </row>
    <row r="961" customFormat="false" ht="13.8" hidden="false" customHeight="false" outlineLevel="0" collapsed="false">
      <c r="A961" s="25"/>
    </row>
    <row r="962" customFormat="false" ht="13.8" hidden="false" customHeight="false" outlineLevel="0" collapsed="false">
      <c r="A962" s="25"/>
    </row>
    <row r="963" customFormat="false" ht="13.8" hidden="false" customHeight="false" outlineLevel="0" collapsed="false">
      <c r="A963" s="25"/>
    </row>
    <row r="964" customFormat="false" ht="13.8" hidden="false" customHeight="false" outlineLevel="0" collapsed="false">
      <c r="A964" s="1"/>
    </row>
    <row r="965" customFormat="false" ht="13.8" hidden="false" customHeight="false" outlineLevel="0" collapsed="false">
      <c r="A965" s="1"/>
    </row>
    <row r="966" customFormat="false" ht="13.8" hidden="false" customHeight="false" outlineLevel="0" collapsed="false">
      <c r="A966" s="25"/>
    </row>
    <row r="967" customFormat="false" ht="13.8" hidden="false" customHeight="false" outlineLevel="0" collapsed="false">
      <c r="A967" s="1"/>
    </row>
    <row r="968" customFormat="false" ht="13.8" hidden="false" customHeight="false" outlineLevel="0" collapsed="false">
      <c r="A968" s="1"/>
    </row>
    <row r="969" customFormat="false" ht="13.8" hidden="false" customHeight="false" outlineLevel="0" collapsed="false">
      <c r="A969" s="1"/>
    </row>
    <row r="970" customFormat="false" ht="13.8" hidden="false" customHeight="false" outlineLevel="0" collapsed="false">
      <c r="A970" s="1"/>
    </row>
    <row r="971" customFormat="false" ht="13.8" hidden="false" customHeight="false" outlineLevel="0" collapsed="false">
      <c r="A971" s="1"/>
    </row>
    <row r="972" customFormat="false" ht="13.8" hidden="false" customHeight="false" outlineLevel="0" collapsed="false">
      <c r="A972" s="5"/>
    </row>
    <row r="973" customFormat="false" ht="13.8" hidden="false" customHeight="false" outlineLevel="0" collapsed="false">
      <c r="A973" s="1"/>
    </row>
    <row r="974" customFormat="false" ht="13.8" hidden="false" customHeight="false" outlineLevel="0" collapsed="false">
      <c r="A974" s="1"/>
    </row>
    <row r="975" customFormat="false" ht="13.8" hidden="false" customHeight="false" outlineLevel="0" collapsed="false">
      <c r="A975" s="1"/>
    </row>
    <row r="976" customFormat="false" ht="13.8" hidden="false" customHeight="false" outlineLevel="0" collapsed="false">
      <c r="A976" s="25"/>
    </row>
    <row r="977" customFormat="false" ht="13.8" hidden="false" customHeight="false" outlineLevel="0" collapsed="false">
      <c r="A977" s="25"/>
    </row>
    <row r="978" customFormat="false" ht="13.8" hidden="false" customHeight="false" outlineLevel="0" collapsed="false">
      <c r="A978" s="25"/>
    </row>
    <row r="1048575" customFormat="false" ht="12.75" hidden="false" customHeight="true" outlineLevel="0" collapsed="false"/>
    <row r="1048576" customFormat="false" ht="12.8" hidden="false" customHeight="true" outlineLevel="0" collapsed="false"/>
  </sheetData>
  <mergeCells count="13">
    <mergeCell ref="A70:A71"/>
    <mergeCell ref="A140:A141"/>
    <mergeCell ref="A210:A211"/>
    <mergeCell ref="A280:A281"/>
    <mergeCell ref="A350:A351"/>
    <mergeCell ref="A420:A421"/>
    <mergeCell ref="A490:A491"/>
    <mergeCell ref="A560:A561"/>
    <mergeCell ref="A630:A631"/>
    <mergeCell ref="A700:A701"/>
    <mergeCell ref="A770:A771"/>
    <mergeCell ref="A840:A841"/>
    <mergeCell ref="A910:A91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RowHeight="12.75" zeroHeight="false" outlineLevelRow="0" outlineLevelCol="0"/>
  <cols>
    <col collapsed="false" customWidth="true" hidden="false" outlineLevel="0" max="1" min="1" style="0" width="19.99"/>
    <col collapsed="false" customWidth="true" hidden="false" outlineLevel="0" max="2" min="2" style="0" width="23.88"/>
    <col collapsed="false" customWidth="true" hidden="false" outlineLevel="0" max="3" min="3" style="0" width="7.14"/>
    <col collapsed="false" customWidth="true" hidden="false" outlineLevel="0" max="4" min="4" style="0" width="17.86"/>
    <col collapsed="false" customWidth="true" hidden="false" outlineLevel="0" max="5" min="5" style="0" width="19.86"/>
    <col collapsed="false" customWidth="true" hidden="false" outlineLevel="0" max="6" min="6" style="0" width="10.12"/>
    <col collapsed="false" customWidth="true" hidden="false" outlineLevel="0" max="7" min="7" style="0" width="15.88"/>
    <col collapsed="false" customWidth="true" hidden="false" outlineLevel="0" max="8" min="8" style="0" width="9.13"/>
    <col collapsed="false" customWidth="true" hidden="false" outlineLevel="0" max="9" min="9" style="0" width="17.86"/>
    <col collapsed="false" customWidth="true" hidden="false" outlineLevel="0" max="10" min="10" style="0" width="14.43"/>
    <col collapsed="false" customWidth="true" hidden="false" outlineLevel="0" max="11" min="11" style="0" width="27.86"/>
    <col collapsed="false" customWidth="true" hidden="false" outlineLevel="0" max="1025" min="12" style="0" width="14.43"/>
  </cols>
  <sheetData>
    <row r="1" customFormat="false" ht="27.75" hidden="false" customHeight="true" outlineLevel="0" collapsed="false">
      <c r="A1" s="1" t="s">
        <v>2</v>
      </c>
      <c r="B1" s="1" t="s">
        <v>139</v>
      </c>
      <c r="C1" s="1" t="s">
        <v>140</v>
      </c>
      <c r="D1" s="1" t="s">
        <v>141</v>
      </c>
      <c r="E1" s="1" t="s">
        <v>142</v>
      </c>
      <c r="F1" s="1" t="s">
        <v>143</v>
      </c>
      <c r="G1" s="1" t="s">
        <v>144</v>
      </c>
      <c r="H1" s="25" t="s">
        <v>96</v>
      </c>
      <c r="I1" s="1" t="s">
        <v>145</v>
      </c>
      <c r="J1" s="1" t="s">
        <v>146</v>
      </c>
      <c r="K1" s="3" t="s">
        <v>147</v>
      </c>
      <c r="L1" s="1" t="s">
        <v>148</v>
      </c>
      <c r="M1" s="30" t="s">
        <v>149</v>
      </c>
      <c r="N1" s="1" t="s">
        <v>150</v>
      </c>
      <c r="O1" s="1" t="s">
        <v>151</v>
      </c>
      <c r="P1" s="1" t="s">
        <v>152</v>
      </c>
      <c r="Q1" s="1" t="s">
        <v>153</v>
      </c>
      <c r="R1" s="1" t="s">
        <v>154</v>
      </c>
      <c r="S1" s="1" t="s">
        <v>155</v>
      </c>
      <c r="T1" s="1" t="s">
        <v>156</v>
      </c>
      <c r="U1" s="1" t="s">
        <v>101</v>
      </c>
      <c r="V1" s="1" t="s">
        <v>157</v>
      </c>
      <c r="W1" s="1" t="s">
        <v>158</v>
      </c>
      <c r="X1" s="1" t="s">
        <v>159</v>
      </c>
      <c r="Y1" s="1" t="s">
        <v>160</v>
      </c>
    </row>
    <row r="2" customFormat="false" ht="27" hidden="false" customHeight="true" outlineLevel="0" collapsed="false">
      <c r="A2" s="1" t="s">
        <v>161</v>
      </c>
      <c r="B2" s="1"/>
      <c r="C2" s="2" t="s">
        <v>162</v>
      </c>
      <c r="D2" s="2" t="s">
        <v>163</v>
      </c>
      <c r="E2" s="2" t="s">
        <v>163</v>
      </c>
      <c r="F2" s="1"/>
      <c r="G2" s="2" t="s">
        <v>164</v>
      </c>
      <c r="H2" s="31" t="s">
        <v>165</v>
      </c>
      <c r="I2" s="2" t="s">
        <v>166</v>
      </c>
      <c r="J2" s="2" t="s">
        <v>167</v>
      </c>
      <c r="K2" s="3" t="s">
        <v>168</v>
      </c>
      <c r="L2" s="2" t="s">
        <v>169</v>
      </c>
      <c r="M2" s="32" t="s">
        <v>170</v>
      </c>
      <c r="N2" s="2" t="s">
        <v>171</v>
      </c>
      <c r="O2" s="2" t="s">
        <v>172</v>
      </c>
      <c r="P2" s="2" t="s">
        <v>173</v>
      </c>
      <c r="Q2" s="2" t="s">
        <v>174</v>
      </c>
      <c r="R2" s="6" t="s">
        <v>175</v>
      </c>
      <c r="S2" s="6" t="s">
        <v>166</v>
      </c>
      <c r="T2" s="6" t="s">
        <v>176</v>
      </c>
    </row>
    <row r="3" customFormat="false" ht="12.75" hidden="false" customHeight="false" outlineLevel="0" collapsed="false">
      <c r="A3" s="1" t="s">
        <v>26</v>
      </c>
      <c r="B3" s="1" t="n">
        <v>0</v>
      </c>
      <c r="C3" s="1" t="n">
        <v>8.53</v>
      </c>
      <c r="D3" s="1" t="n">
        <v>116.1</v>
      </c>
      <c r="E3" s="33" t="n">
        <v>96.5</v>
      </c>
      <c r="F3" s="1" t="n">
        <f aca="false">D3-E3</f>
        <v>19.6</v>
      </c>
      <c r="G3" s="1" t="n">
        <v>12.2</v>
      </c>
      <c r="H3" s="25" t="n">
        <v>0.5469</v>
      </c>
      <c r="I3" s="34" t="n">
        <v>0.742</v>
      </c>
      <c r="J3" s="1" t="n">
        <v>12.8</v>
      </c>
      <c r="K3" s="3" t="n">
        <v>5</v>
      </c>
      <c r="L3" s="1" t="n">
        <v>1</v>
      </c>
      <c r="M3" s="30" t="n">
        <v>48.2</v>
      </c>
      <c r="N3" s="1" t="n">
        <v>6</v>
      </c>
      <c r="O3" s="35" t="n">
        <v>0.5968</v>
      </c>
      <c r="P3" s="1" t="n">
        <v>7</v>
      </c>
      <c r="Q3" s="1" t="n">
        <v>69</v>
      </c>
      <c r="R3" s="14" t="n">
        <v>33</v>
      </c>
      <c r="S3" s="14" t="n">
        <v>0</v>
      </c>
      <c r="T3" s="14" t="n">
        <v>17</v>
      </c>
      <c r="U3" s="1" t="n">
        <v>0</v>
      </c>
      <c r="V3" s="1" t="n">
        <v>40.3</v>
      </c>
      <c r="W3" s="1" t="n">
        <v>6</v>
      </c>
      <c r="X3" s="1" t="n">
        <v>9</v>
      </c>
      <c r="Y3" s="1" t="n">
        <v>0.758</v>
      </c>
    </row>
    <row r="4" customFormat="false" ht="12.75" hidden="false" customHeight="false" outlineLevel="0" collapsed="false">
      <c r="A4" s="1" t="s">
        <v>177</v>
      </c>
      <c r="B4" s="1" t="n">
        <v>1</v>
      </c>
      <c r="C4" s="1" t="n">
        <v>-3.03</v>
      </c>
      <c r="D4" s="1" t="n">
        <v>108.3</v>
      </c>
      <c r="E4" s="1" t="n">
        <v>96.1</v>
      </c>
      <c r="F4" s="1" t="n">
        <f aca="false">D4-E4</f>
        <v>12.2</v>
      </c>
      <c r="G4" s="1" t="n">
        <v>11.3</v>
      </c>
      <c r="H4" s="25" t="n">
        <v>0.4745</v>
      </c>
      <c r="I4" s="5" t="n">
        <v>0.879</v>
      </c>
      <c r="J4" s="1" t="n">
        <v>10.5</v>
      </c>
      <c r="K4" s="3" t="n">
        <v>1</v>
      </c>
      <c r="L4" s="1" t="n">
        <v>0</v>
      </c>
      <c r="M4" s="30" t="n">
        <v>45.8</v>
      </c>
      <c r="N4" s="1" t="n">
        <v>12</v>
      </c>
      <c r="O4" s="36" t="n">
        <v>0.5797</v>
      </c>
      <c r="P4" s="1" t="n">
        <v>8</v>
      </c>
      <c r="Q4" s="1" t="n">
        <v>60.1</v>
      </c>
      <c r="R4" s="14" t="n">
        <v>33</v>
      </c>
      <c r="S4" s="14" t="n">
        <v>0</v>
      </c>
      <c r="T4" s="14" t="n">
        <v>35</v>
      </c>
      <c r="U4" s="1" t="n">
        <v>0</v>
      </c>
      <c r="V4" s="1" t="n">
        <v>32.9</v>
      </c>
      <c r="W4" s="1" t="n">
        <v>0</v>
      </c>
      <c r="X4" s="1" t="n">
        <v>1</v>
      </c>
      <c r="Y4" s="1" t="n">
        <v>0.879</v>
      </c>
    </row>
    <row r="5" customFormat="false" ht="12.75" hidden="false" customHeight="false" outlineLevel="0" collapsed="false">
      <c r="A5" s="1" t="s">
        <v>178</v>
      </c>
      <c r="B5" s="1" t="n">
        <v>0</v>
      </c>
      <c r="C5" s="1" t="n">
        <v>-5.6</v>
      </c>
      <c r="D5" s="1" t="n">
        <v>104.4</v>
      </c>
      <c r="E5" s="33" t="n">
        <v>108.9</v>
      </c>
      <c r="F5" s="1" t="n">
        <f aca="false">D5-E5</f>
        <v>-4.5</v>
      </c>
      <c r="G5" s="1" t="n">
        <v>0.1</v>
      </c>
      <c r="H5" s="25" t="n">
        <v>0.4815</v>
      </c>
      <c r="I5" s="34" t="n">
        <v>0.512</v>
      </c>
      <c r="J5" s="1" t="n">
        <v>14</v>
      </c>
      <c r="K5" s="3" t="n">
        <v>0</v>
      </c>
      <c r="L5" s="1" t="n">
        <v>0</v>
      </c>
      <c r="M5" s="30" t="n">
        <v>46.3</v>
      </c>
      <c r="N5" s="1" t="n">
        <v>16</v>
      </c>
      <c r="O5" s="36" t="n">
        <v>0.4886</v>
      </c>
      <c r="P5" s="1" t="n">
        <v>8</v>
      </c>
      <c r="Q5" s="1" t="n">
        <v>77.1</v>
      </c>
      <c r="R5" s="14" t="n">
        <v>35</v>
      </c>
      <c r="S5" s="14" t="n">
        <v>0</v>
      </c>
      <c r="T5" s="14" t="n">
        <v>47</v>
      </c>
      <c r="U5" s="1" t="n">
        <v>0</v>
      </c>
      <c r="V5" s="1" t="n">
        <v>35.9</v>
      </c>
      <c r="W5" s="1" t="n">
        <v>0</v>
      </c>
      <c r="X5" s="1" t="n">
        <v>4</v>
      </c>
      <c r="Y5" s="1" t="n">
        <v>0.514</v>
      </c>
    </row>
    <row r="6" customFormat="false" ht="12.75" hidden="false" customHeight="false" outlineLevel="0" collapsed="false">
      <c r="A6" s="1" t="s">
        <v>102</v>
      </c>
      <c r="B6" s="1" t="n">
        <v>0</v>
      </c>
      <c r="C6" s="1" t="n">
        <v>0.72</v>
      </c>
      <c r="D6" s="1" t="n">
        <v>116.9</v>
      </c>
      <c r="E6" s="33" t="n">
        <v>99</v>
      </c>
      <c r="F6" s="1" t="n">
        <f aca="false">D6-E6</f>
        <v>17.9</v>
      </c>
      <c r="G6" s="1" t="n">
        <v>7.9</v>
      </c>
      <c r="H6" s="29" t="n">
        <v>0.5949</v>
      </c>
      <c r="I6" s="5" t="n">
        <v>0.599</v>
      </c>
      <c r="J6" s="1" t="n">
        <v>12.9</v>
      </c>
      <c r="K6" s="3" t="n">
        <v>6</v>
      </c>
      <c r="L6" s="1" t="n">
        <v>1</v>
      </c>
      <c r="M6" s="30" t="n">
        <v>46.7</v>
      </c>
      <c r="N6" s="1" t="n">
        <v>5</v>
      </c>
      <c r="O6" s="36" t="n">
        <v>0.5974</v>
      </c>
      <c r="P6" s="1" t="n">
        <v>5</v>
      </c>
      <c r="Q6" s="1" t="n">
        <v>69.6</v>
      </c>
      <c r="R6" s="14" t="n">
        <v>33</v>
      </c>
      <c r="S6" s="14" t="n">
        <v>0</v>
      </c>
      <c r="T6" s="14" t="n">
        <v>21</v>
      </c>
      <c r="U6" s="1" t="n">
        <v>0</v>
      </c>
      <c r="V6" s="1" t="n">
        <v>36.8</v>
      </c>
      <c r="W6" s="1" t="n">
        <v>3</v>
      </c>
      <c r="X6" s="1" t="n">
        <v>6</v>
      </c>
      <c r="Y6" s="1" t="n">
        <v>0.667</v>
      </c>
    </row>
    <row r="7" customFormat="false" ht="12.75" hidden="false" customHeight="false" outlineLevel="0" collapsed="false">
      <c r="A7" s="1" t="s">
        <v>27</v>
      </c>
      <c r="B7" s="1" t="n">
        <v>0</v>
      </c>
      <c r="C7" s="1" t="n">
        <v>-6.51</v>
      </c>
      <c r="D7" s="1" t="n">
        <v>105.1</v>
      </c>
      <c r="E7" s="33" t="n">
        <v>102.5</v>
      </c>
      <c r="F7" s="1" t="n">
        <f aca="false">D7-E7</f>
        <v>2.59999999999999</v>
      </c>
      <c r="G7" s="1" t="n">
        <v>2.4</v>
      </c>
      <c r="H7" s="25" t="n">
        <v>0.5377</v>
      </c>
      <c r="I7" s="34" t="n">
        <v>0.588</v>
      </c>
      <c r="J7" s="1" t="n">
        <v>13.7</v>
      </c>
      <c r="K7" s="3" t="n">
        <v>7</v>
      </c>
      <c r="L7" s="1" t="n">
        <v>0</v>
      </c>
      <c r="M7" s="30" t="n">
        <v>43.8</v>
      </c>
      <c r="N7" s="1" t="n">
        <v>14</v>
      </c>
      <c r="O7" s="36" t="n">
        <v>0.5476</v>
      </c>
      <c r="P7" s="1" t="n">
        <v>6</v>
      </c>
      <c r="Q7" s="1" t="n">
        <v>75.9</v>
      </c>
      <c r="R7" s="14" t="n">
        <v>34</v>
      </c>
      <c r="S7" s="14" t="n">
        <v>0</v>
      </c>
      <c r="T7" s="14" t="n">
        <v>47</v>
      </c>
      <c r="U7" s="1" t="n">
        <v>0</v>
      </c>
      <c r="V7" s="1" t="n">
        <v>38.9</v>
      </c>
      <c r="W7" s="1" t="n">
        <v>0</v>
      </c>
      <c r="X7" s="1" t="n">
        <v>1</v>
      </c>
      <c r="Y7" s="1" t="n">
        <v>0.588</v>
      </c>
    </row>
    <row r="8" customFormat="false" ht="12.75" hidden="false" customHeight="false" outlineLevel="0" collapsed="false">
      <c r="A8" s="1" t="s">
        <v>68</v>
      </c>
      <c r="B8" s="1" t="n">
        <v>1</v>
      </c>
      <c r="C8" s="1" t="n">
        <v>1.1</v>
      </c>
      <c r="D8" s="1" t="n">
        <v>115.6</v>
      </c>
      <c r="E8" s="33" t="n">
        <v>101.8</v>
      </c>
      <c r="F8" s="1" t="n">
        <f aca="false">D8-E8</f>
        <v>13.8</v>
      </c>
      <c r="G8" s="1" t="n">
        <v>9.4</v>
      </c>
      <c r="H8" s="25" t="n">
        <v>0.5461</v>
      </c>
      <c r="I8" s="34" t="n">
        <v>0.54</v>
      </c>
      <c r="J8" s="1" t="n">
        <v>10.2</v>
      </c>
      <c r="K8" s="3" t="n">
        <v>6</v>
      </c>
      <c r="L8" s="1" t="n">
        <v>0</v>
      </c>
      <c r="M8" s="30" t="n">
        <v>46.6</v>
      </c>
      <c r="N8" s="1" t="n">
        <v>9</v>
      </c>
      <c r="O8" s="36" t="n">
        <v>0.5733</v>
      </c>
      <c r="P8" s="1" t="n">
        <v>7</v>
      </c>
      <c r="Q8" s="1" t="n">
        <v>71.2</v>
      </c>
      <c r="R8" s="14" t="n">
        <v>31</v>
      </c>
      <c r="S8" s="14" t="n">
        <v>0</v>
      </c>
      <c r="T8" s="14" t="n">
        <v>37</v>
      </c>
      <c r="U8" s="1" t="n">
        <v>0</v>
      </c>
      <c r="V8" s="1" t="n">
        <v>36.5</v>
      </c>
      <c r="W8" s="1" t="n">
        <v>0</v>
      </c>
      <c r="X8" s="1" t="n">
        <v>2</v>
      </c>
      <c r="Y8" s="1" t="n">
        <v>0.677</v>
      </c>
    </row>
    <row r="9" customFormat="false" ht="12.75" hidden="false" customHeight="false" outlineLevel="0" collapsed="false">
      <c r="A9" s="1" t="s">
        <v>179</v>
      </c>
      <c r="B9" s="1" t="n">
        <v>0</v>
      </c>
      <c r="C9" s="1" t="n">
        <v>16.36</v>
      </c>
      <c r="D9" s="1" t="n">
        <v>111.3</v>
      </c>
      <c r="E9" s="33" t="n">
        <v>93.8</v>
      </c>
      <c r="F9" s="1" t="n">
        <f aca="false">D9-E9</f>
        <v>17.5</v>
      </c>
      <c r="G9" s="1" t="n">
        <v>8.1</v>
      </c>
      <c r="H9" s="25" t="n">
        <v>0.5852</v>
      </c>
      <c r="I9" s="34" t="n">
        <v>0.607</v>
      </c>
      <c r="J9" s="1" t="n">
        <v>12.2</v>
      </c>
      <c r="K9" s="3" t="n">
        <v>7</v>
      </c>
      <c r="L9" s="1" t="n">
        <v>1</v>
      </c>
      <c r="M9" s="30" t="n">
        <v>46.1</v>
      </c>
      <c r="N9" s="1" t="n">
        <v>4</v>
      </c>
      <c r="O9" s="1" t="n">
        <v>0.6127</v>
      </c>
      <c r="P9" s="1" t="n">
        <v>8</v>
      </c>
      <c r="Q9" s="1" t="n">
        <v>67</v>
      </c>
      <c r="R9" s="14" t="n">
        <v>32</v>
      </c>
      <c r="S9" s="14" t="n">
        <v>0</v>
      </c>
      <c r="T9" s="14" t="n">
        <v>47</v>
      </c>
      <c r="U9" s="1" t="n">
        <v>0</v>
      </c>
      <c r="V9" s="1" t="n">
        <v>39.8</v>
      </c>
      <c r="W9" s="1" t="n">
        <v>1</v>
      </c>
      <c r="X9" s="1" t="n">
        <v>2</v>
      </c>
      <c r="Y9" s="1" t="n">
        <v>0.697</v>
      </c>
    </row>
    <row r="10" customFormat="false" ht="12.75" hidden="false" customHeight="false" outlineLevel="0" collapsed="false">
      <c r="A10" s="1" t="s">
        <v>180</v>
      </c>
      <c r="B10" s="1" t="n">
        <v>0</v>
      </c>
      <c r="C10" s="1" t="n">
        <v>-2.28</v>
      </c>
      <c r="D10" s="1" t="n">
        <v>105.1</v>
      </c>
      <c r="E10" s="27" t="n">
        <v>99.4</v>
      </c>
      <c r="F10" s="1" t="n">
        <f aca="false">D10-E10</f>
        <v>5.69999999999999</v>
      </c>
      <c r="G10" s="1" t="n">
        <v>9.2</v>
      </c>
      <c r="H10" s="25" t="n">
        <v>0.4807</v>
      </c>
      <c r="I10" s="34" t="n">
        <v>0.853</v>
      </c>
      <c r="J10" s="1" t="n">
        <v>12.4</v>
      </c>
      <c r="K10" s="3" t="n">
        <v>1</v>
      </c>
      <c r="L10" s="1" t="n">
        <v>0</v>
      </c>
      <c r="M10" s="30" t="n">
        <v>45.6</v>
      </c>
      <c r="N10" s="1" t="n">
        <v>12</v>
      </c>
      <c r="O10" s="36" t="n">
        <v>0.5739</v>
      </c>
      <c r="P10" s="1" t="n">
        <v>8</v>
      </c>
      <c r="Q10" s="1" t="n">
        <v>67.1</v>
      </c>
      <c r="R10" s="14" t="n">
        <v>33</v>
      </c>
      <c r="S10" s="14" t="n">
        <v>0</v>
      </c>
      <c r="T10" s="14" t="n">
        <v>23</v>
      </c>
      <c r="U10" s="1" t="n">
        <v>0</v>
      </c>
      <c r="V10" s="1" t="n">
        <v>35.4</v>
      </c>
      <c r="W10" s="1" t="n">
        <v>0</v>
      </c>
      <c r="X10" s="1" t="n">
        <v>1</v>
      </c>
      <c r="Y10" s="1" t="n">
        <v>0.853</v>
      </c>
    </row>
    <row r="11" customFormat="false" ht="12.75" hidden="false" customHeight="false" outlineLevel="0" collapsed="false">
      <c r="A11" s="1" t="s">
        <v>34</v>
      </c>
      <c r="B11" s="1" t="n">
        <v>0</v>
      </c>
      <c r="C11" s="1" t="n">
        <v>11.4</v>
      </c>
      <c r="D11" s="1" t="n">
        <v>107.7</v>
      </c>
      <c r="E11" s="27" t="n">
        <v>93.1</v>
      </c>
      <c r="F11" s="1" t="n">
        <f aca="false">D11-E11</f>
        <v>14.6</v>
      </c>
      <c r="G11" s="1" t="n">
        <v>10.3</v>
      </c>
      <c r="H11" s="25" t="n">
        <v>0.547</v>
      </c>
      <c r="I11" s="34" t="n">
        <v>0.645</v>
      </c>
      <c r="J11" s="1" t="n">
        <v>11.1</v>
      </c>
      <c r="K11" s="3" t="n">
        <v>4</v>
      </c>
      <c r="L11" s="1" t="n">
        <v>0</v>
      </c>
      <c r="M11" s="30" t="n">
        <v>42.8</v>
      </c>
      <c r="N11" s="1" t="n">
        <v>9</v>
      </c>
      <c r="O11" s="1" t="n">
        <v>0.578</v>
      </c>
      <c r="P11" s="1" t="n">
        <v>6</v>
      </c>
      <c r="Q11" s="1" t="n">
        <v>62.9</v>
      </c>
      <c r="R11" s="14" t="n">
        <v>34</v>
      </c>
      <c r="S11" s="14" t="n">
        <v>0</v>
      </c>
      <c r="T11" s="14" t="n">
        <v>47</v>
      </c>
      <c r="U11" s="1" t="n">
        <v>0</v>
      </c>
      <c r="V11" s="1" t="n">
        <v>39.4</v>
      </c>
      <c r="W11" s="1" t="n">
        <v>1</v>
      </c>
      <c r="X11" s="1" t="n">
        <v>8</v>
      </c>
      <c r="Y11" s="1" t="n">
        <v>0.688</v>
      </c>
    </row>
    <row r="12" customFormat="false" ht="12.75" hidden="false" customHeight="false" outlineLevel="0" collapsed="false">
      <c r="A12" s="1" t="s">
        <v>181</v>
      </c>
      <c r="B12" s="1" t="n">
        <v>0</v>
      </c>
      <c r="C12" s="1" t="n">
        <v>4.81</v>
      </c>
      <c r="D12" s="1" t="n">
        <v>106.6</v>
      </c>
      <c r="E12" s="33" t="n">
        <v>95.5</v>
      </c>
      <c r="F12" s="1" t="n">
        <f aca="false">D12-E12</f>
        <v>11.1</v>
      </c>
      <c r="G12" s="1" t="n">
        <v>5.3</v>
      </c>
      <c r="H12" s="25" t="n">
        <v>0.5645</v>
      </c>
      <c r="I12" s="34" t="n">
        <v>0.562</v>
      </c>
      <c r="J12" s="1" t="n">
        <v>13.4</v>
      </c>
      <c r="K12" s="3" t="n">
        <v>3</v>
      </c>
      <c r="L12" s="1" t="n">
        <v>1</v>
      </c>
      <c r="M12" s="30" t="n">
        <v>42.6</v>
      </c>
      <c r="N12" s="1" t="n">
        <v>8</v>
      </c>
      <c r="O12" s="1" t="n">
        <v>0.5855</v>
      </c>
      <c r="P12" s="1" t="n">
        <v>5</v>
      </c>
      <c r="Q12" s="1" t="n">
        <v>70.7</v>
      </c>
      <c r="R12" s="14" t="n">
        <v>32</v>
      </c>
      <c r="S12" s="14" t="n">
        <v>0</v>
      </c>
      <c r="T12" s="14" t="n">
        <v>37</v>
      </c>
      <c r="U12" s="1" t="n">
        <v>0</v>
      </c>
      <c r="V12" s="1" t="n">
        <v>42.3</v>
      </c>
      <c r="W12" s="1" t="n">
        <v>0</v>
      </c>
      <c r="X12" s="1" t="n">
        <v>4</v>
      </c>
      <c r="Y12" s="1" t="n">
        <v>0.667</v>
      </c>
    </row>
    <row r="13" customFormat="false" ht="12.75" hidden="false" customHeight="false" outlineLevel="0" collapsed="false">
      <c r="A13" s="1" t="s">
        <v>182</v>
      </c>
      <c r="B13" s="1" t="n">
        <v>1</v>
      </c>
      <c r="C13" s="1" t="n">
        <v>6.39</v>
      </c>
      <c r="D13" s="1" t="n">
        <v>110.4</v>
      </c>
      <c r="E13" s="1" t="n">
        <v>93.7</v>
      </c>
      <c r="F13" s="1" t="n">
        <f aca="false">D13-E13</f>
        <v>16.7</v>
      </c>
      <c r="G13" s="1" t="n">
        <v>10.3</v>
      </c>
      <c r="H13" s="25" t="n">
        <v>0.557</v>
      </c>
      <c r="I13" s="5" t="n">
        <v>0.691</v>
      </c>
      <c r="J13" s="1" t="n">
        <v>11.1</v>
      </c>
      <c r="K13" s="3" t="n">
        <v>6</v>
      </c>
      <c r="L13" s="1" t="n">
        <v>1</v>
      </c>
      <c r="M13" s="30" t="n">
        <v>45.9</v>
      </c>
      <c r="N13" s="1" t="n">
        <v>9</v>
      </c>
      <c r="O13" s="36" t="n">
        <v>0.5853</v>
      </c>
      <c r="P13" s="1" t="n">
        <v>7</v>
      </c>
      <c r="Q13" s="1" t="n">
        <v>63.1</v>
      </c>
      <c r="R13" s="14" t="n">
        <v>33</v>
      </c>
      <c r="S13" s="14" t="n">
        <v>0</v>
      </c>
      <c r="T13" s="14" t="n">
        <v>47</v>
      </c>
      <c r="U13" s="1" t="n">
        <v>0</v>
      </c>
      <c r="V13" s="1" t="n">
        <v>36.4</v>
      </c>
      <c r="W13" s="1" t="n">
        <v>1</v>
      </c>
      <c r="X13" s="1" t="n">
        <v>2</v>
      </c>
      <c r="Y13" s="1" t="n">
        <v>0.706</v>
      </c>
    </row>
    <row r="14" customFormat="false" ht="12.75" hidden="false" customHeight="false" outlineLevel="0" collapsed="false">
      <c r="A14" s="1" t="s">
        <v>183</v>
      </c>
      <c r="B14" s="1" t="n">
        <v>0</v>
      </c>
      <c r="C14" s="1" t="n">
        <v>-5.59</v>
      </c>
      <c r="D14" s="1" t="n">
        <v>102.3</v>
      </c>
      <c r="E14" s="33" t="n">
        <v>95.4</v>
      </c>
      <c r="F14" s="1" t="n">
        <f aca="false">D14-E14</f>
        <v>6.89999999999999</v>
      </c>
      <c r="G14" s="1" t="n">
        <v>9.8</v>
      </c>
      <c r="H14" s="25" t="n">
        <v>0.4472</v>
      </c>
      <c r="I14" s="5" t="n">
        <v>0.501</v>
      </c>
      <c r="J14" s="1" t="n">
        <v>12.2</v>
      </c>
      <c r="K14" s="3" t="n">
        <v>0</v>
      </c>
      <c r="L14" s="1" t="n">
        <v>0</v>
      </c>
      <c r="M14" s="30" t="n">
        <v>45.1</v>
      </c>
      <c r="N14" s="1" t="n">
        <v>15</v>
      </c>
      <c r="O14" s="36" t="n">
        <v>0.5262</v>
      </c>
      <c r="P14" s="1" t="n">
        <v>9</v>
      </c>
      <c r="Q14" s="1" t="n">
        <v>63.3</v>
      </c>
      <c r="R14" s="14" t="n">
        <v>34</v>
      </c>
      <c r="S14" s="14" t="n">
        <v>1</v>
      </c>
      <c r="T14" s="14" t="n">
        <v>29</v>
      </c>
      <c r="U14" s="1" t="n">
        <v>0</v>
      </c>
      <c r="V14" s="1" t="n">
        <v>38.1</v>
      </c>
      <c r="W14" s="1" t="n">
        <v>1</v>
      </c>
      <c r="X14" s="1" t="n">
        <v>4</v>
      </c>
      <c r="Y14" s="1" t="n">
        <v>0.75</v>
      </c>
    </row>
    <row r="15" customFormat="false" ht="12.75" hidden="false" customHeight="false" outlineLevel="0" collapsed="false">
      <c r="A15" s="1" t="s">
        <v>103</v>
      </c>
      <c r="B15" s="1" t="n">
        <v>0</v>
      </c>
      <c r="C15" s="1" t="n">
        <v>6.75</v>
      </c>
      <c r="D15" s="1" t="n">
        <v>104.7</v>
      </c>
      <c r="E15" s="27" t="n">
        <v>93.8</v>
      </c>
      <c r="F15" s="1" t="n">
        <f aca="false">D15-E15</f>
        <v>10.9</v>
      </c>
      <c r="G15" s="1" t="n">
        <v>7.4</v>
      </c>
      <c r="H15" s="25" t="n">
        <v>0.5573</v>
      </c>
      <c r="I15" s="34" t="n">
        <v>0.68</v>
      </c>
      <c r="J15" s="1" t="n">
        <v>13.1</v>
      </c>
      <c r="K15" s="3" t="n">
        <f aca="false">1+0+0+0+1+0</f>
        <v>2</v>
      </c>
      <c r="L15" s="1" t="n">
        <v>0</v>
      </c>
      <c r="M15" s="30" t="n">
        <v>46</v>
      </c>
      <c r="N15" s="1" t="n">
        <v>7</v>
      </c>
      <c r="O15" s="1" t="n">
        <v>0.6046</v>
      </c>
      <c r="P15" s="1" t="n">
        <v>6</v>
      </c>
      <c r="Q15" s="1" t="n">
        <v>65.8</v>
      </c>
      <c r="R15" s="14" t="n">
        <v>32</v>
      </c>
      <c r="S15" s="14" t="n">
        <v>0</v>
      </c>
      <c r="T15" s="14" t="n">
        <v>31</v>
      </c>
      <c r="U15" s="1" t="n">
        <v>0</v>
      </c>
      <c r="V15" s="1" t="n">
        <v>38.7</v>
      </c>
      <c r="W15" s="1" t="n">
        <v>1</v>
      </c>
      <c r="X15" s="1" t="n">
        <v>3</v>
      </c>
      <c r="Y15" s="1" t="n">
        <v>0.781</v>
      </c>
    </row>
    <row r="16" customFormat="false" ht="12.75" hidden="false" customHeight="false" outlineLevel="0" collapsed="false">
      <c r="A16" s="1" t="s">
        <v>86</v>
      </c>
      <c r="B16" s="1" t="n">
        <v>2</v>
      </c>
      <c r="C16" s="1" t="n">
        <v>15.79</v>
      </c>
      <c r="D16" s="1" t="n">
        <v>119.3</v>
      </c>
      <c r="E16" s="27" t="n">
        <v>100.7</v>
      </c>
      <c r="F16" s="1" t="n">
        <f aca="false">D16-E16</f>
        <v>18.6</v>
      </c>
      <c r="G16" s="1" t="n">
        <v>9.4</v>
      </c>
      <c r="H16" s="37" t="n">
        <v>0.5897</v>
      </c>
      <c r="I16" s="5" t="n">
        <v>0.725</v>
      </c>
      <c r="J16" s="1" t="n">
        <v>9.9</v>
      </c>
      <c r="K16" s="3" t="n">
        <v>5</v>
      </c>
      <c r="L16" s="1" t="n">
        <v>1</v>
      </c>
      <c r="M16" s="30" t="n">
        <v>45.9</v>
      </c>
      <c r="N16" s="1" t="n">
        <v>4</v>
      </c>
      <c r="O16" s="1" t="n">
        <v>0.6059</v>
      </c>
      <c r="P16" s="1" t="n">
        <v>6</v>
      </c>
      <c r="Q16" s="1" t="n">
        <v>72.1</v>
      </c>
      <c r="R16" s="14" t="n">
        <v>33</v>
      </c>
      <c r="S16" s="14" t="n">
        <v>12</v>
      </c>
      <c r="T16" s="14" t="n">
        <v>19</v>
      </c>
      <c r="U16" s="1" t="n">
        <v>0</v>
      </c>
      <c r="V16" s="1" t="n">
        <v>36.3</v>
      </c>
      <c r="W16" s="1" t="n">
        <v>22</v>
      </c>
      <c r="X16" s="1" t="n">
        <v>32</v>
      </c>
      <c r="Y16" s="1" t="n">
        <v>0.697</v>
      </c>
    </row>
    <row r="17" customFormat="false" ht="12.75" hidden="false" customHeight="false" outlineLevel="0" collapsed="false">
      <c r="A17" s="1" t="s">
        <v>184</v>
      </c>
      <c r="B17" s="1" t="n">
        <v>-1</v>
      </c>
      <c r="C17" s="1" t="n">
        <v>-10</v>
      </c>
      <c r="D17" s="1" t="n">
        <v>105.5</v>
      </c>
      <c r="E17" s="27" t="n">
        <v>114.1</v>
      </c>
      <c r="F17" s="1" t="n">
        <f aca="false">D17-E17</f>
        <v>-8.59999999999999</v>
      </c>
      <c r="G17" s="1" t="n">
        <v>-0.3</v>
      </c>
      <c r="H17" s="25" t="n">
        <v>0.4504</v>
      </c>
      <c r="I17" s="34" t="n">
        <v>0.391</v>
      </c>
      <c r="J17" s="1" t="n">
        <v>12.9</v>
      </c>
      <c r="K17" s="3" t="n">
        <v>0</v>
      </c>
      <c r="L17" s="1" t="n">
        <v>0</v>
      </c>
      <c r="M17" s="30" t="n">
        <v>46.2</v>
      </c>
      <c r="N17" s="1" t="n">
        <v>16</v>
      </c>
      <c r="O17" s="36" t="n">
        <v>0.4777</v>
      </c>
      <c r="P17" s="1" t="n">
        <v>6</v>
      </c>
      <c r="Q17" s="38" t="n">
        <v>78.5</v>
      </c>
      <c r="R17" s="14" t="n">
        <v>32</v>
      </c>
      <c r="S17" s="14" t="n">
        <v>0</v>
      </c>
      <c r="T17" s="14" t="n">
        <v>47</v>
      </c>
      <c r="U17" s="1" t="n">
        <v>0</v>
      </c>
      <c r="V17" s="1" t="n">
        <v>33.1</v>
      </c>
      <c r="W17" s="1" t="n">
        <v>0</v>
      </c>
      <c r="X17" s="1" t="n">
        <v>1</v>
      </c>
      <c r="Y17" s="1" t="n">
        <v>0.563</v>
      </c>
      <c r="Z17" s="1"/>
    </row>
    <row r="18" customFormat="false" ht="12.75" hidden="false" customHeight="false" outlineLevel="0" collapsed="false">
      <c r="A18" s="1" t="s">
        <v>185</v>
      </c>
      <c r="B18" s="1" t="n">
        <v>0</v>
      </c>
      <c r="C18" s="1" t="n">
        <v>-2.57</v>
      </c>
      <c r="D18" s="1" t="n">
        <v>102.7</v>
      </c>
      <c r="E18" s="27" t="n">
        <v>103.8</v>
      </c>
      <c r="F18" s="1" t="n">
        <f aca="false">D18-E18</f>
        <v>-1.09999999999999</v>
      </c>
      <c r="G18" s="1" t="n">
        <v>2.7</v>
      </c>
      <c r="H18" s="25" t="n">
        <v>0.4565</v>
      </c>
      <c r="I18" s="34" t="n">
        <v>0.576</v>
      </c>
      <c r="J18" s="1" t="n">
        <v>12.3</v>
      </c>
      <c r="K18" s="3" t="n">
        <v>0</v>
      </c>
      <c r="L18" s="1" t="n">
        <v>0</v>
      </c>
      <c r="M18" s="30" t="n">
        <v>47.7</v>
      </c>
      <c r="N18" s="1" t="n">
        <v>16</v>
      </c>
      <c r="O18" s="36" t="n">
        <v>0.4735</v>
      </c>
      <c r="P18" s="1" t="n">
        <v>7</v>
      </c>
      <c r="Q18" s="38" t="n">
        <v>72.9</v>
      </c>
      <c r="R18" s="14" t="n">
        <v>33</v>
      </c>
      <c r="S18" s="14" t="n">
        <v>0</v>
      </c>
      <c r="T18" s="14" t="n">
        <v>47</v>
      </c>
      <c r="U18" s="1" t="n">
        <v>0</v>
      </c>
      <c r="V18" s="1" t="n">
        <v>39.4</v>
      </c>
      <c r="W18" s="1" t="n">
        <v>0</v>
      </c>
      <c r="X18" s="1" t="n">
        <v>1</v>
      </c>
      <c r="Y18" s="1" t="n">
        <v>0.606</v>
      </c>
    </row>
    <row r="19" customFormat="false" ht="12.75" hidden="false" customHeight="false" outlineLevel="0" collapsed="false">
      <c r="A19" s="1" t="s">
        <v>186</v>
      </c>
      <c r="B19" s="1" t="n">
        <v>0</v>
      </c>
      <c r="C19" s="1" t="n">
        <v>5.26</v>
      </c>
      <c r="D19" s="1" t="n">
        <v>106.2</v>
      </c>
      <c r="E19" s="1" t="n">
        <v>100.3</v>
      </c>
      <c r="F19" s="1" t="n">
        <f aca="false">D19-E19</f>
        <v>5.90000000000001</v>
      </c>
      <c r="G19" s="1" t="n">
        <v>4.9</v>
      </c>
      <c r="H19" s="25" t="n">
        <v>0.5124</v>
      </c>
      <c r="I19" s="34" t="n">
        <v>0.506</v>
      </c>
      <c r="J19" s="1" t="n">
        <v>10.7</v>
      </c>
      <c r="K19" s="3" t="n">
        <v>1</v>
      </c>
      <c r="L19" s="1" t="n">
        <v>0</v>
      </c>
      <c r="M19" s="30" t="n">
        <v>43.4</v>
      </c>
      <c r="N19" s="1" t="n">
        <v>14</v>
      </c>
      <c r="O19" s="36" t="n">
        <v>0.5641</v>
      </c>
      <c r="P19" s="1" t="n">
        <v>9</v>
      </c>
      <c r="Q19" s="1" t="n">
        <v>71.2</v>
      </c>
      <c r="R19" s="14" t="n">
        <v>34</v>
      </c>
      <c r="S19" s="14" t="n">
        <v>0</v>
      </c>
      <c r="T19" s="14" t="n">
        <v>47</v>
      </c>
      <c r="U19" s="1" t="n">
        <v>0</v>
      </c>
      <c r="V19" s="1" t="n">
        <v>37</v>
      </c>
      <c r="W19" s="1" t="n">
        <v>0</v>
      </c>
      <c r="X19" s="1" t="n">
        <v>1</v>
      </c>
      <c r="Y19" s="1" t="n">
        <v>0.735</v>
      </c>
    </row>
    <row r="20" customFormat="false" ht="12.75" hidden="false" customHeight="false" outlineLevel="0" collapsed="false">
      <c r="A20" s="1" t="s">
        <v>43</v>
      </c>
      <c r="B20" s="1" t="n">
        <v>2</v>
      </c>
      <c r="C20" s="1" t="n">
        <v>1.99</v>
      </c>
      <c r="D20" s="1" t="n">
        <v>114.8</v>
      </c>
      <c r="E20" s="1" t="n">
        <v>97.8</v>
      </c>
      <c r="F20" s="1" t="n">
        <f aca="false">D20-E20</f>
        <v>17</v>
      </c>
      <c r="G20" s="1" t="n">
        <v>13.5</v>
      </c>
      <c r="H20" s="25" t="n">
        <v>0.5235</v>
      </c>
      <c r="I20" s="34" t="n">
        <v>0.808</v>
      </c>
      <c r="J20" s="1" t="n">
        <v>11.3</v>
      </c>
      <c r="K20" s="3" t="n">
        <v>1</v>
      </c>
      <c r="L20" s="1" t="n">
        <v>0</v>
      </c>
      <c r="M20" s="30" t="n">
        <v>48.6</v>
      </c>
      <c r="N20" s="1" t="n">
        <v>11</v>
      </c>
      <c r="O20" s="1" t="n">
        <v>0.5766</v>
      </c>
      <c r="P20" s="1" t="n">
        <v>8</v>
      </c>
      <c r="Q20" s="1" t="n">
        <v>66.8</v>
      </c>
      <c r="R20" s="14" t="n">
        <v>33</v>
      </c>
      <c r="S20" s="14" t="n">
        <v>0</v>
      </c>
      <c r="T20" s="14" t="n">
        <v>34</v>
      </c>
      <c r="U20" s="1" t="n">
        <v>0</v>
      </c>
      <c r="V20" s="1" t="n">
        <v>39.4</v>
      </c>
      <c r="W20" s="1" t="n">
        <v>5</v>
      </c>
      <c r="X20" s="1" t="n">
        <v>17</v>
      </c>
      <c r="Y20" s="1" t="n">
        <v>0.788</v>
      </c>
    </row>
    <row r="21" customFormat="false" ht="12.75" hidden="false" customHeight="false" outlineLevel="0" collapsed="false">
      <c r="A21" s="1" t="s">
        <v>187</v>
      </c>
      <c r="B21" s="1" t="n">
        <v>0</v>
      </c>
      <c r="C21" s="1" t="n">
        <v>-8.8</v>
      </c>
      <c r="D21" s="1" t="n">
        <v>99.9</v>
      </c>
      <c r="E21" s="1" t="n">
        <v>104.8</v>
      </c>
      <c r="F21" s="1" t="n">
        <f aca="false">D21-E21</f>
        <v>-4.89999999999999</v>
      </c>
      <c r="G21" s="1" t="n">
        <v>0.9</v>
      </c>
      <c r="H21" s="25" t="n">
        <v>0.4376</v>
      </c>
      <c r="I21" s="34" t="n">
        <v>0.531</v>
      </c>
      <c r="J21" s="1" t="n">
        <v>14</v>
      </c>
      <c r="K21" s="3" t="n">
        <v>0</v>
      </c>
      <c r="L21" s="1" t="n">
        <v>0</v>
      </c>
      <c r="M21" s="30" t="n">
        <v>41.5</v>
      </c>
      <c r="N21" s="1" t="n">
        <v>16</v>
      </c>
      <c r="O21" s="36" t="n">
        <v>0.5045</v>
      </c>
      <c r="P21" s="1" t="n">
        <v>8</v>
      </c>
      <c r="Q21" s="1" t="n">
        <v>74.1</v>
      </c>
      <c r="R21" s="14" t="n">
        <v>35</v>
      </c>
      <c r="S21" s="14" t="n">
        <v>0</v>
      </c>
      <c r="T21" s="14" t="n">
        <v>47</v>
      </c>
      <c r="U21" s="1" t="n">
        <v>0</v>
      </c>
      <c r="V21" s="1" t="n">
        <v>41.3</v>
      </c>
      <c r="W21" s="1" t="n">
        <v>0</v>
      </c>
      <c r="X21" s="1" t="n">
        <v>3</v>
      </c>
      <c r="Y21" s="1" t="n">
        <v>0.677</v>
      </c>
    </row>
    <row r="22" customFormat="false" ht="12.75" hidden="false" customHeight="false" outlineLevel="0" collapsed="false">
      <c r="A22" s="1" t="s">
        <v>188</v>
      </c>
      <c r="B22" s="1" t="n">
        <v>1</v>
      </c>
      <c r="C22" s="1" t="n">
        <v>2.47</v>
      </c>
      <c r="D22" s="1" t="n">
        <v>107</v>
      </c>
      <c r="E22" s="1" t="n">
        <v>96.6</v>
      </c>
      <c r="F22" s="1" t="n">
        <f aca="false">D22-E22</f>
        <v>10.4</v>
      </c>
      <c r="G22" s="1" t="n">
        <v>11.1</v>
      </c>
      <c r="H22" s="37" t="n">
        <v>0.4733</v>
      </c>
      <c r="I22" s="34" t="n">
        <v>0.811</v>
      </c>
      <c r="J22" s="1" t="n">
        <v>13.2</v>
      </c>
      <c r="K22" s="3" t="n">
        <v>1</v>
      </c>
      <c r="L22" s="1" t="n">
        <v>0</v>
      </c>
      <c r="M22" s="30" t="n">
        <v>46.2</v>
      </c>
      <c r="N22" s="1" t="n">
        <v>13</v>
      </c>
      <c r="O22" s="36" t="n">
        <v>0.5508</v>
      </c>
      <c r="P22" s="1" t="n">
        <v>8</v>
      </c>
      <c r="Q22" s="1" t="n">
        <v>66.3</v>
      </c>
      <c r="R22" s="14" t="n">
        <v>31</v>
      </c>
      <c r="S22" s="14" t="n">
        <v>0</v>
      </c>
      <c r="T22" s="14" t="n">
        <v>47</v>
      </c>
      <c r="U22" s="1" t="n">
        <v>0</v>
      </c>
      <c r="V22" s="1" t="n">
        <v>37.3</v>
      </c>
      <c r="W22" s="1" t="n">
        <v>0</v>
      </c>
      <c r="X22" s="1" t="n">
        <v>1</v>
      </c>
      <c r="Y22" s="1" t="n">
        <v>0.844</v>
      </c>
    </row>
    <row r="23" customFormat="false" ht="12.75" hidden="false" customHeight="false" outlineLevel="0" collapsed="false">
      <c r="A23" s="1" t="s">
        <v>189</v>
      </c>
      <c r="B23" s="1" t="n">
        <v>0</v>
      </c>
      <c r="C23" s="1" t="n">
        <v>-1.6</v>
      </c>
      <c r="D23" s="1" t="n">
        <v>97</v>
      </c>
      <c r="E23" s="1" t="n">
        <v>105.8</v>
      </c>
      <c r="F23" s="1" t="n">
        <f aca="false">D23-E23</f>
        <v>-8.8</v>
      </c>
      <c r="G23" s="1" t="n">
        <v>-4.3</v>
      </c>
      <c r="H23" s="37" t="n">
        <v>0.4537</v>
      </c>
      <c r="I23" s="34" t="n">
        <v>0.54</v>
      </c>
      <c r="J23" s="1" t="n">
        <v>11</v>
      </c>
      <c r="K23" s="3" t="n">
        <v>0</v>
      </c>
      <c r="L23" s="1" t="n">
        <v>0</v>
      </c>
      <c r="M23" s="30" t="n">
        <v>41.3</v>
      </c>
      <c r="N23" s="1" t="n">
        <v>16</v>
      </c>
      <c r="O23" s="36" t="n">
        <v>0.4552</v>
      </c>
      <c r="P23" s="1" t="n">
        <v>5</v>
      </c>
      <c r="Q23" s="1" t="n">
        <v>69.7</v>
      </c>
      <c r="R23" s="14" t="n">
        <v>32</v>
      </c>
      <c r="S23" s="14" t="n">
        <v>0</v>
      </c>
      <c r="T23" s="14" t="n">
        <v>47</v>
      </c>
      <c r="U23" s="1" t="n">
        <v>0</v>
      </c>
      <c r="V23" s="1" t="n">
        <v>30.2</v>
      </c>
      <c r="W23" s="1" t="n">
        <v>0</v>
      </c>
      <c r="X23" s="1" t="n">
        <v>3</v>
      </c>
      <c r="Y23" s="1" t="n">
        <v>0.424</v>
      </c>
    </row>
    <row r="24" customFormat="false" ht="12.75" hidden="false" customHeight="false" outlineLevel="0" collapsed="false">
      <c r="A24" s="1" t="s">
        <v>190</v>
      </c>
      <c r="B24" s="1" t="n">
        <v>2</v>
      </c>
      <c r="C24" s="1" t="n">
        <v>13.96</v>
      </c>
      <c r="D24" s="1" t="n">
        <v>119</v>
      </c>
      <c r="E24" s="1" t="n">
        <v>98.7</v>
      </c>
      <c r="F24" s="1" t="n">
        <f aca="false">D24-E24</f>
        <v>20.3</v>
      </c>
      <c r="G24" s="1" t="n">
        <v>13.4</v>
      </c>
      <c r="H24" s="37" t="n">
        <v>0.5379</v>
      </c>
      <c r="I24" s="34" t="n">
        <v>0.611</v>
      </c>
      <c r="J24" s="1" t="n">
        <v>13.7</v>
      </c>
      <c r="K24" s="3" t="n">
        <f aca="false">1+1+1+1+1+1+1+1+1+1</f>
        <v>10</v>
      </c>
      <c r="L24" s="1" t="n">
        <v>1</v>
      </c>
      <c r="M24" s="30" t="n">
        <v>50.1</v>
      </c>
      <c r="N24" s="1" t="n">
        <v>5</v>
      </c>
      <c r="O24" s="36" t="n">
        <v>0.5992</v>
      </c>
      <c r="P24" s="1" t="n">
        <v>7</v>
      </c>
      <c r="Q24" s="1" t="n">
        <v>68.9</v>
      </c>
      <c r="R24" s="14" t="n">
        <v>33</v>
      </c>
      <c r="S24" s="14" t="n">
        <v>0</v>
      </c>
      <c r="T24" s="14" t="n">
        <v>47</v>
      </c>
      <c r="U24" s="1" t="n">
        <v>0</v>
      </c>
      <c r="V24" s="1" t="n">
        <v>37.4</v>
      </c>
      <c r="W24" s="1" t="n">
        <v>3</v>
      </c>
      <c r="X24" s="1" t="n">
        <v>9</v>
      </c>
      <c r="Y24" s="1" t="n">
        <v>0.781</v>
      </c>
    </row>
    <row r="25" customFormat="false" ht="12.75" hidden="false" customHeight="false" outlineLevel="0" collapsed="false">
      <c r="A25" s="1" t="s">
        <v>87</v>
      </c>
      <c r="B25" s="1" t="n">
        <v>0</v>
      </c>
      <c r="C25" s="1" t="n">
        <v>-4.25</v>
      </c>
      <c r="D25" s="1" t="n">
        <v>110.4</v>
      </c>
      <c r="E25" s="1" t="n">
        <v>101.2</v>
      </c>
      <c r="F25" s="1" t="n">
        <f aca="false">D25-E25</f>
        <v>9.2</v>
      </c>
      <c r="G25" s="1" t="n">
        <v>5.9</v>
      </c>
      <c r="H25" s="37" t="n">
        <v>0.5033</v>
      </c>
      <c r="I25" s="34" t="n">
        <v>0.686</v>
      </c>
      <c r="J25" s="1" t="n">
        <v>12.8</v>
      </c>
      <c r="K25" s="3" t="n">
        <v>0</v>
      </c>
      <c r="L25" s="1" t="n">
        <v>0</v>
      </c>
      <c r="M25" s="30" t="n">
        <v>45.6</v>
      </c>
      <c r="N25" s="1" t="n">
        <v>13</v>
      </c>
      <c r="O25" s="36" t="n">
        <v>0.5566</v>
      </c>
      <c r="P25" s="1" t="n">
        <v>9</v>
      </c>
      <c r="Q25" s="1" t="n">
        <v>73.7</v>
      </c>
      <c r="R25" s="14" t="n">
        <v>32</v>
      </c>
      <c r="S25" s="14" t="n">
        <v>1</v>
      </c>
      <c r="T25" s="14" t="n">
        <v>14</v>
      </c>
      <c r="U25" s="1" t="n">
        <v>0</v>
      </c>
      <c r="V25" s="1" t="n">
        <v>36.9</v>
      </c>
      <c r="W25" s="1" t="n">
        <v>0</v>
      </c>
      <c r="X25" s="1" t="n">
        <v>3</v>
      </c>
      <c r="Y25" s="14" t="n">
        <v>0.781</v>
      </c>
    </row>
    <row r="26" customFormat="false" ht="12.75" hidden="false" customHeight="false" outlineLevel="0" collapsed="false">
      <c r="A26" s="1" t="s">
        <v>191</v>
      </c>
      <c r="B26" s="1" t="n">
        <v>1</v>
      </c>
      <c r="C26" s="1" t="n">
        <v>11.16</v>
      </c>
      <c r="D26" s="1" t="n">
        <v>114.4</v>
      </c>
      <c r="E26" s="1" t="n">
        <v>95.9</v>
      </c>
      <c r="F26" s="1" t="n">
        <f aca="false">D26-E26</f>
        <v>18.5</v>
      </c>
      <c r="G26" s="1" t="n">
        <v>9.4</v>
      </c>
      <c r="H26" s="37" t="n">
        <v>0.5669</v>
      </c>
      <c r="I26" s="34" t="n">
        <v>0.584</v>
      </c>
      <c r="J26" s="1" t="n">
        <v>10.4</v>
      </c>
      <c r="K26" s="3" t="n">
        <v>7</v>
      </c>
      <c r="L26" s="1" t="n">
        <v>1</v>
      </c>
      <c r="M26" s="30" t="n">
        <v>45</v>
      </c>
      <c r="N26" s="1" t="n">
        <v>7</v>
      </c>
      <c r="O26" s="36" t="n">
        <v>0.5914</v>
      </c>
      <c r="P26" s="1" t="n">
        <v>4</v>
      </c>
      <c r="Q26" s="1" t="n">
        <v>68.7</v>
      </c>
      <c r="R26" s="14" t="n">
        <v>32</v>
      </c>
      <c r="S26" s="14" t="n">
        <v>0</v>
      </c>
      <c r="T26" s="14" t="n">
        <v>47</v>
      </c>
      <c r="U26" s="1" t="n">
        <v>0</v>
      </c>
      <c r="V26" s="1" t="n">
        <v>38.4</v>
      </c>
      <c r="W26" s="1" t="n">
        <v>0</v>
      </c>
      <c r="X26" s="1" t="n">
        <v>8</v>
      </c>
      <c r="Y26" s="1" t="n">
        <v>0.677</v>
      </c>
    </row>
    <row r="27" customFormat="false" ht="12.75" hidden="false" customHeight="false" outlineLevel="0" collapsed="false">
      <c r="A27" s="1" t="s">
        <v>192</v>
      </c>
      <c r="B27" s="1" t="n">
        <v>2</v>
      </c>
      <c r="C27" s="1" t="n">
        <v>6.41</v>
      </c>
      <c r="D27" s="1" t="n">
        <v>120.5</v>
      </c>
      <c r="E27" s="1" t="n">
        <v>100.3</v>
      </c>
      <c r="F27" s="1" t="n">
        <f aca="false">D27-E27</f>
        <v>20.2</v>
      </c>
      <c r="G27" s="1" t="n">
        <v>6.9</v>
      </c>
      <c r="H27" s="39" t="n">
        <v>0.5896</v>
      </c>
      <c r="I27" s="34" t="n">
        <v>0.758</v>
      </c>
      <c r="J27" s="1" t="n">
        <v>11.6</v>
      </c>
      <c r="K27" s="3" t="n">
        <v>9</v>
      </c>
      <c r="L27" s="1" t="n">
        <v>1</v>
      </c>
      <c r="M27" s="30" t="n">
        <v>50.2</v>
      </c>
      <c r="N27" s="1" t="n">
        <v>4</v>
      </c>
      <c r="O27" s="36" t="n">
        <v>0.6031</v>
      </c>
      <c r="P27" s="1" t="n">
        <v>5</v>
      </c>
      <c r="Q27" s="1" t="n">
        <v>75</v>
      </c>
      <c r="R27" s="14" t="n">
        <v>31</v>
      </c>
      <c r="S27" s="14" t="n">
        <v>0</v>
      </c>
      <c r="T27" s="14" t="n">
        <v>25</v>
      </c>
      <c r="U27" s="1" t="n">
        <v>0</v>
      </c>
      <c r="V27" s="1" t="n">
        <v>36.1</v>
      </c>
      <c r="W27" s="1" t="n">
        <v>0</v>
      </c>
      <c r="X27" s="1" t="n">
        <v>2</v>
      </c>
      <c r="Y27" s="1" t="n">
        <v>0.677</v>
      </c>
    </row>
    <row r="28" customFormat="false" ht="12.75" hidden="false" customHeight="false" outlineLevel="0" collapsed="false">
      <c r="A28" s="1" t="s">
        <v>71</v>
      </c>
      <c r="B28" s="1" t="n">
        <v>3</v>
      </c>
      <c r="C28" s="1" t="n">
        <v>15.38</v>
      </c>
      <c r="D28" s="1" t="n">
        <v>118.9</v>
      </c>
      <c r="E28" s="1" t="n">
        <v>92</v>
      </c>
      <c r="F28" s="1" t="n">
        <f aca="false">D28-E28</f>
        <v>26.9</v>
      </c>
      <c r="G28" s="1" t="n">
        <v>13.8</v>
      </c>
      <c r="H28" s="29" t="n">
        <v>0.6022</v>
      </c>
      <c r="I28" s="34" t="n">
        <v>0.759</v>
      </c>
      <c r="J28" s="1" t="n">
        <v>12.6</v>
      </c>
      <c r="K28" s="3" t="n">
        <v>12</v>
      </c>
      <c r="L28" s="1" t="n">
        <v>1</v>
      </c>
      <c r="M28" s="30" t="n">
        <v>49.4</v>
      </c>
      <c r="N28" s="1" t="n">
        <v>1</v>
      </c>
      <c r="O28" s="1" t="n">
        <v>0.6683</v>
      </c>
      <c r="P28" s="1" t="n">
        <v>10</v>
      </c>
      <c r="Q28" s="1" t="n">
        <v>67.6</v>
      </c>
      <c r="R28" s="14" t="n">
        <v>32</v>
      </c>
      <c r="S28" s="14" t="n">
        <v>0</v>
      </c>
      <c r="T28" s="14" t="n">
        <v>22</v>
      </c>
      <c r="U28" s="1" t="n">
        <v>1</v>
      </c>
      <c r="V28" s="1" t="n">
        <v>37.3</v>
      </c>
      <c r="W28" s="1" t="n">
        <v>10</v>
      </c>
      <c r="X28" s="1" t="n">
        <v>18</v>
      </c>
      <c r="Y28" s="1" t="n">
        <v>0.882</v>
      </c>
    </row>
    <row r="29" customFormat="false" ht="12.75" hidden="false" customHeight="false" outlineLevel="0" collapsed="false">
      <c r="A29" s="1" t="s">
        <v>24</v>
      </c>
      <c r="B29" s="1" t="n">
        <v>1</v>
      </c>
      <c r="C29" s="1" t="n">
        <v>17.52</v>
      </c>
      <c r="D29" s="1" t="n">
        <v>122.3</v>
      </c>
      <c r="E29" s="1" t="n">
        <v>98.9</v>
      </c>
      <c r="F29" s="1" t="n">
        <f aca="false">D29-E29</f>
        <v>23.4</v>
      </c>
      <c r="G29" s="1" t="n">
        <v>11.4</v>
      </c>
      <c r="H29" s="25" t="n">
        <v>0.5745</v>
      </c>
      <c r="I29" s="34" t="n">
        <v>0.78</v>
      </c>
      <c r="J29" s="1" t="n">
        <v>11.1</v>
      </c>
      <c r="K29" s="3" t="n">
        <v>3</v>
      </c>
      <c r="L29" s="1" t="n">
        <v>1</v>
      </c>
      <c r="M29" s="30" t="n">
        <v>47.9</v>
      </c>
      <c r="N29" s="1" t="n">
        <v>4</v>
      </c>
      <c r="O29" s="1" t="n">
        <v>0.6273</v>
      </c>
      <c r="P29" s="1" t="n">
        <v>8</v>
      </c>
      <c r="Q29" s="1" t="n">
        <v>68.3</v>
      </c>
      <c r="R29" s="14" t="n">
        <v>34</v>
      </c>
      <c r="S29" s="14" t="n">
        <v>2</v>
      </c>
      <c r="T29" s="14" t="n">
        <v>1</v>
      </c>
      <c r="U29" s="1" t="n">
        <v>1</v>
      </c>
      <c r="V29" s="1" t="n">
        <v>38.7</v>
      </c>
      <c r="W29" s="1" t="n">
        <v>12</v>
      </c>
      <c r="X29" s="1" t="n">
        <v>17</v>
      </c>
      <c r="Y29" s="1" t="n">
        <v>0.765</v>
      </c>
    </row>
    <row r="30" customFormat="false" ht="12.75" hidden="false" customHeight="false" outlineLevel="0" collapsed="false">
      <c r="A30" s="1" t="s">
        <v>111</v>
      </c>
      <c r="B30" s="1" t="n">
        <v>2</v>
      </c>
      <c r="C30" s="1" t="n">
        <v>9.76</v>
      </c>
      <c r="D30" s="1" t="n">
        <v>113.8</v>
      </c>
      <c r="E30" s="1" t="n">
        <v>96.3</v>
      </c>
      <c r="F30" s="1" t="n">
        <f aca="false">D30-E30</f>
        <v>17.5</v>
      </c>
      <c r="G30" s="1" t="n">
        <v>9.8</v>
      </c>
      <c r="H30" s="25" t="n">
        <v>0.5677</v>
      </c>
      <c r="I30" s="34" t="n">
        <v>0.625</v>
      </c>
      <c r="J30" s="1" t="n">
        <v>12.9</v>
      </c>
      <c r="K30" s="3" t="n">
        <v>4</v>
      </c>
      <c r="L30" s="1" t="n">
        <v>1</v>
      </c>
      <c r="M30" s="30" t="n">
        <v>48.8</v>
      </c>
      <c r="N30" s="1" t="n">
        <v>5</v>
      </c>
      <c r="O30" s="1" t="n">
        <v>0.6147</v>
      </c>
      <c r="P30" s="1" t="n">
        <v>5</v>
      </c>
      <c r="Q30" s="1" t="n">
        <v>66.4</v>
      </c>
      <c r="R30" s="14" t="n">
        <v>34</v>
      </c>
      <c r="S30" s="14" t="n">
        <v>6</v>
      </c>
      <c r="T30" s="14" t="n">
        <v>10</v>
      </c>
      <c r="U30" s="1" t="n">
        <v>0</v>
      </c>
      <c r="V30" s="1" t="n">
        <v>36.1</v>
      </c>
      <c r="W30" s="1" t="n">
        <v>1</v>
      </c>
      <c r="X30" s="1" t="n">
        <v>7</v>
      </c>
      <c r="Y30" s="1" t="n">
        <v>0.758</v>
      </c>
    </row>
    <row r="31" customFormat="false" ht="12.75" hidden="false" customHeight="false" outlineLevel="0" collapsed="false">
      <c r="A31" s="1" t="s">
        <v>193</v>
      </c>
      <c r="B31" s="1" t="n">
        <v>2</v>
      </c>
      <c r="C31" s="1" t="n">
        <v>2.62</v>
      </c>
      <c r="D31" s="1" t="n">
        <v>117.2</v>
      </c>
      <c r="E31" s="1" t="n">
        <v>97.1</v>
      </c>
      <c r="F31" s="1" t="n">
        <f aca="false">D31-E31</f>
        <v>20.1</v>
      </c>
      <c r="G31" s="1" t="n">
        <v>8.8</v>
      </c>
      <c r="H31" s="25" t="n">
        <v>0.5822</v>
      </c>
      <c r="I31" s="34" t="n">
        <v>0.605</v>
      </c>
      <c r="J31" s="1" t="n">
        <v>10.7</v>
      </c>
      <c r="K31" s="3" t="n">
        <v>8</v>
      </c>
      <c r="L31" s="1" t="n">
        <v>1</v>
      </c>
      <c r="M31" s="30" t="n">
        <v>47.7</v>
      </c>
      <c r="N31" s="1" t="n">
        <v>3</v>
      </c>
      <c r="O31" s="1" t="n">
        <v>0.6333</v>
      </c>
      <c r="P31" s="1" t="n">
        <v>7</v>
      </c>
      <c r="Q31" s="1" t="n">
        <v>66.8</v>
      </c>
      <c r="R31" s="14" t="n">
        <v>33</v>
      </c>
      <c r="S31" s="14" t="n">
        <v>0</v>
      </c>
      <c r="T31" s="14" t="n">
        <v>18</v>
      </c>
      <c r="U31" s="1" t="n">
        <v>0</v>
      </c>
      <c r="V31" s="1" t="n">
        <v>35</v>
      </c>
      <c r="W31" s="1" t="n">
        <v>2</v>
      </c>
      <c r="X31" s="1" t="n">
        <v>7</v>
      </c>
      <c r="Y31" s="1" t="n">
        <v>0.781</v>
      </c>
    </row>
    <row r="32" customFormat="false" ht="12.75" hidden="false" customHeight="false" outlineLevel="0" collapsed="false">
      <c r="A32" s="1" t="s">
        <v>47</v>
      </c>
      <c r="B32" s="1" t="n">
        <v>0</v>
      </c>
      <c r="C32" s="1" t="n">
        <v>10.31</v>
      </c>
      <c r="D32" s="1" t="n">
        <v>112.7</v>
      </c>
      <c r="E32" s="1" t="n">
        <v>101</v>
      </c>
      <c r="F32" s="1" t="n">
        <f aca="false">D32-E32</f>
        <v>11.7</v>
      </c>
      <c r="G32" s="1" t="n">
        <v>6.8</v>
      </c>
      <c r="H32" s="25" t="n">
        <v>0.5596</v>
      </c>
      <c r="I32" s="34" t="n">
        <v>0.618</v>
      </c>
      <c r="J32" s="1" t="n">
        <v>9.8</v>
      </c>
      <c r="K32" s="3" t="n">
        <v>4</v>
      </c>
      <c r="L32" s="1" t="n">
        <v>1</v>
      </c>
      <c r="M32" s="30" t="n">
        <v>46.6</v>
      </c>
      <c r="N32" s="1" t="n">
        <v>2</v>
      </c>
      <c r="O32" s="36" t="n">
        <v>0.5711</v>
      </c>
      <c r="P32" s="1" t="n">
        <v>5</v>
      </c>
      <c r="Q32" s="1" t="n">
        <v>68.2</v>
      </c>
      <c r="R32" s="14" t="n">
        <v>32</v>
      </c>
      <c r="S32" s="14" t="n">
        <v>1</v>
      </c>
      <c r="T32" s="14" t="n">
        <v>10</v>
      </c>
      <c r="U32" s="1" t="n">
        <v>0</v>
      </c>
      <c r="V32" s="1" t="n">
        <v>32</v>
      </c>
      <c r="W32" s="1" t="n">
        <v>4</v>
      </c>
      <c r="X32" s="1" t="n">
        <v>10</v>
      </c>
      <c r="Y32" s="1" t="n">
        <v>0.647</v>
      </c>
    </row>
    <row r="33" customFormat="false" ht="12.75" hidden="false" customHeight="false" outlineLevel="0" collapsed="false">
      <c r="A33" s="1" t="s">
        <v>194</v>
      </c>
      <c r="B33" s="1" t="n">
        <v>0</v>
      </c>
      <c r="C33" s="1" t="n">
        <v>11.2</v>
      </c>
      <c r="D33" s="1" t="n">
        <v>121.3</v>
      </c>
      <c r="E33" s="1" t="n">
        <v>98.9</v>
      </c>
      <c r="F33" s="1" t="n">
        <f aca="false">D33-E33</f>
        <v>22.4</v>
      </c>
      <c r="G33" s="1" t="n">
        <v>16.4</v>
      </c>
      <c r="H33" s="25" t="n">
        <v>0.5575</v>
      </c>
      <c r="I33" s="34" t="n">
        <v>0.72</v>
      </c>
      <c r="J33" s="1" t="n">
        <v>11.8</v>
      </c>
      <c r="K33" s="3" t="n">
        <v>8</v>
      </c>
      <c r="L33" s="1" t="n">
        <v>1</v>
      </c>
      <c r="M33" s="30" t="n">
        <v>48.4</v>
      </c>
      <c r="N33" s="1" t="n">
        <v>2</v>
      </c>
      <c r="O33" s="1" t="n">
        <v>0.6272</v>
      </c>
      <c r="P33" s="1" t="n">
        <v>9</v>
      </c>
      <c r="Q33" s="1" t="n">
        <v>63.4</v>
      </c>
      <c r="R33" s="14" t="n">
        <v>34</v>
      </c>
      <c r="S33" s="14" t="n">
        <v>1</v>
      </c>
      <c r="T33" s="14" t="n">
        <v>43</v>
      </c>
      <c r="U33" s="1" t="n">
        <v>1</v>
      </c>
      <c r="V33" s="1" t="n">
        <v>41.9</v>
      </c>
      <c r="W33" s="1" t="n">
        <v>13</v>
      </c>
      <c r="X33" s="1" t="n">
        <v>19</v>
      </c>
      <c r="Y33" s="1" t="n">
        <v>0.853</v>
      </c>
    </row>
    <row r="34" customFormat="false" ht="12.75" hidden="false" customHeight="false" outlineLevel="0" collapsed="false">
      <c r="A34" s="1" t="s">
        <v>51</v>
      </c>
      <c r="B34" s="1" t="n">
        <v>5</v>
      </c>
      <c r="C34" s="1" t="n">
        <v>15.52</v>
      </c>
      <c r="D34" s="1" t="n">
        <v>119.5</v>
      </c>
      <c r="E34" s="1" t="n">
        <v>94</v>
      </c>
      <c r="F34" s="1" t="n">
        <f aca="false">D34-E34</f>
        <v>25.5</v>
      </c>
      <c r="G34" s="1" t="n">
        <v>12.8</v>
      </c>
      <c r="H34" s="37" t="n">
        <v>0.5774</v>
      </c>
      <c r="I34" s="5" t="n">
        <v>0.789</v>
      </c>
      <c r="J34" s="1" t="n">
        <v>10.9</v>
      </c>
      <c r="K34" s="3" t="n">
        <v>10</v>
      </c>
      <c r="L34" s="1" t="n">
        <v>1</v>
      </c>
      <c r="M34" s="30" t="n">
        <v>47.9</v>
      </c>
      <c r="N34" s="1" t="n">
        <v>1</v>
      </c>
      <c r="O34" s="1" t="n">
        <v>0.642</v>
      </c>
      <c r="P34" s="1" t="n">
        <v>8</v>
      </c>
      <c r="Q34" s="40" t="n">
        <v>69.6</v>
      </c>
      <c r="R34" s="14" t="n">
        <v>34</v>
      </c>
      <c r="S34" s="14" t="n">
        <v>7</v>
      </c>
      <c r="T34" s="14" t="n">
        <v>2</v>
      </c>
      <c r="U34" s="1" t="n">
        <v>1</v>
      </c>
      <c r="V34" s="1" t="n">
        <v>41</v>
      </c>
      <c r="W34" s="1" t="n">
        <v>16</v>
      </c>
      <c r="X34" s="1" t="n">
        <v>26</v>
      </c>
      <c r="Y34" s="1" t="n">
        <v>0.824</v>
      </c>
    </row>
    <row r="35" customFormat="false" ht="12.75" hidden="false" customHeight="false" outlineLevel="0" collapsed="false">
      <c r="A35" s="1" t="s">
        <v>195</v>
      </c>
      <c r="B35" s="1" t="n">
        <v>1</v>
      </c>
      <c r="C35" s="1" t="n">
        <v>0.93</v>
      </c>
      <c r="D35" s="1" t="n">
        <v>105.7</v>
      </c>
      <c r="E35" s="1" t="n">
        <v>97.2</v>
      </c>
      <c r="F35" s="1" t="n">
        <f aca="false">D35-E35</f>
        <v>8.5</v>
      </c>
      <c r="G35" s="1" t="n">
        <v>5.1</v>
      </c>
      <c r="H35" s="25" t="n">
        <v>0.5334</v>
      </c>
      <c r="I35" s="5" t="n">
        <v>0.652</v>
      </c>
      <c r="J35" s="1" t="n">
        <v>9.8</v>
      </c>
      <c r="K35" s="3" t="n">
        <v>5</v>
      </c>
      <c r="L35" s="1" t="n">
        <v>0</v>
      </c>
      <c r="M35" s="30" t="n">
        <v>45.7</v>
      </c>
      <c r="N35" s="1" t="n">
        <v>11</v>
      </c>
      <c r="O35" s="1" t="n">
        <v>0.5603</v>
      </c>
      <c r="P35" s="1" t="n">
        <v>9</v>
      </c>
      <c r="Q35" s="1" t="n">
        <v>62.9</v>
      </c>
      <c r="R35" s="14" t="n">
        <v>33</v>
      </c>
      <c r="S35" s="14" t="n">
        <v>0</v>
      </c>
      <c r="T35" s="14" t="n">
        <v>47</v>
      </c>
      <c r="U35" s="1" t="n">
        <v>0</v>
      </c>
      <c r="V35" s="1" t="n">
        <v>29.7</v>
      </c>
      <c r="W35" s="1" t="n">
        <v>1</v>
      </c>
      <c r="X35" s="1" t="n">
        <v>4</v>
      </c>
      <c r="Y35" s="1" t="n">
        <v>0.647</v>
      </c>
    </row>
    <row r="36" customFormat="false" ht="12.75" hidden="false" customHeight="false" outlineLevel="0" collapsed="false">
      <c r="A36" s="1" t="s">
        <v>121</v>
      </c>
      <c r="B36" s="1" t="n">
        <v>3</v>
      </c>
      <c r="C36" s="1" t="n">
        <v>9.92</v>
      </c>
      <c r="D36" s="1" t="n">
        <v>117.8</v>
      </c>
      <c r="E36" s="1" t="n">
        <v>103.7</v>
      </c>
      <c r="F36" s="1" t="n">
        <f aca="false">D36-E36</f>
        <v>14.1</v>
      </c>
      <c r="G36" s="1" t="n">
        <v>5.1</v>
      </c>
      <c r="H36" s="25" t="n">
        <v>0.5725</v>
      </c>
      <c r="I36" s="5" t="n">
        <v>0.665</v>
      </c>
      <c r="J36" s="1" t="n">
        <v>9.7</v>
      </c>
      <c r="K36" s="3" t="n">
        <v>4</v>
      </c>
      <c r="L36" s="1" t="n">
        <v>1</v>
      </c>
      <c r="M36" s="30" t="n">
        <v>47.1</v>
      </c>
      <c r="N36" s="1" t="n">
        <v>6</v>
      </c>
      <c r="O36" s="1" t="n">
        <v>0.5874</v>
      </c>
      <c r="P36" s="1" t="n">
        <v>6</v>
      </c>
      <c r="Q36" s="1" t="n">
        <v>70.6</v>
      </c>
      <c r="R36" s="14" t="n">
        <v>34</v>
      </c>
      <c r="S36" s="14" t="n">
        <v>7</v>
      </c>
      <c r="T36" s="14" t="n">
        <v>3</v>
      </c>
      <c r="U36" s="1" t="n">
        <v>0</v>
      </c>
      <c r="V36" s="1" t="n">
        <v>36.1</v>
      </c>
      <c r="W36" s="1" t="n">
        <v>2</v>
      </c>
      <c r="X36" s="1" t="n">
        <v>13</v>
      </c>
      <c r="Y36" s="1" t="n">
        <v>0.656</v>
      </c>
    </row>
    <row r="37" customFormat="false" ht="12.75" hidden="false" customHeight="false" outlineLevel="0" collapsed="false">
      <c r="A37" s="1" t="s">
        <v>85</v>
      </c>
      <c r="B37" s="1" t="n">
        <v>4</v>
      </c>
      <c r="C37" s="1" t="n">
        <v>9.38</v>
      </c>
      <c r="D37" s="1" t="n">
        <v>115.4</v>
      </c>
      <c r="E37" s="1" t="n">
        <v>93.3</v>
      </c>
      <c r="F37" s="1" t="n">
        <f aca="false">D37-E37</f>
        <v>22.1</v>
      </c>
      <c r="G37" s="1" t="n">
        <v>10</v>
      </c>
      <c r="H37" s="25" t="n">
        <v>0.5874</v>
      </c>
      <c r="I37" s="5" t="n">
        <v>0.619</v>
      </c>
      <c r="J37" s="1" t="n">
        <v>13</v>
      </c>
      <c r="K37" s="3" t="n">
        <v>11</v>
      </c>
      <c r="L37" s="1" t="n">
        <v>1</v>
      </c>
      <c r="M37" s="30" t="n">
        <v>45.9</v>
      </c>
      <c r="N37" s="1" t="n">
        <v>2</v>
      </c>
      <c r="O37" s="1" t="n">
        <v>0.637</v>
      </c>
      <c r="P37" s="1" t="n">
        <v>6</v>
      </c>
      <c r="Q37" s="1" t="n">
        <v>70.4</v>
      </c>
      <c r="R37" s="14" t="n">
        <v>34</v>
      </c>
      <c r="S37" s="14" t="n">
        <v>0</v>
      </c>
      <c r="T37" s="14" t="n">
        <v>45</v>
      </c>
      <c r="U37" s="1" t="n">
        <v>0</v>
      </c>
      <c r="V37" s="1" t="n">
        <v>38.8</v>
      </c>
      <c r="W37" s="1" t="n">
        <v>4</v>
      </c>
      <c r="X37" s="1" t="n">
        <v>17</v>
      </c>
      <c r="Y37" s="1" t="n">
        <v>0.781</v>
      </c>
    </row>
    <row r="38" customFormat="false" ht="12.75" hidden="false" customHeight="false" outlineLevel="0" collapsed="false">
      <c r="A38" s="1" t="s">
        <v>123</v>
      </c>
      <c r="B38" s="1" t="n">
        <v>3</v>
      </c>
      <c r="C38" s="1" t="n">
        <v>5.48</v>
      </c>
      <c r="D38" s="1" t="n">
        <v>119.4</v>
      </c>
      <c r="E38" s="1" t="n">
        <v>97.4</v>
      </c>
      <c r="F38" s="1" t="n">
        <f aca="false">D38-E38</f>
        <v>22</v>
      </c>
      <c r="G38" s="1" t="n">
        <v>9.7</v>
      </c>
      <c r="H38" s="29" t="n">
        <v>0.6001</v>
      </c>
      <c r="I38" s="5" t="n">
        <v>0.647</v>
      </c>
      <c r="J38" s="1" t="n">
        <v>11.6</v>
      </c>
      <c r="K38" s="3" t="n">
        <v>11</v>
      </c>
      <c r="L38" s="1" t="n">
        <v>1</v>
      </c>
      <c r="M38" s="30" t="n">
        <v>46.7</v>
      </c>
      <c r="N38" s="1" t="n">
        <v>1</v>
      </c>
      <c r="O38" s="1" t="n">
        <v>0.656</v>
      </c>
      <c r="P38" s="1" t="n">
        <v>8</v>
      </c>
      <c r="Q38" s="1" t="n">
        <v>69.4</v>
      </c>
      <c r="R38" s="14" t="n">
        <v>32</v>
      </c>
      <c r="S38" s="14" t="n">
        <v>0</v>
      </c>
      <c r="T38" s="14" t="n">
        <v>27</v>
      </c>
      <c r="U38" s="1" t="n">
        <v>1</v>
      </c>
      <c r="V38" s="1" t="n">
        <v>35.8</v>
      </c>
      <c r="W38" s="1" t="n">
        <v>1</v>
      </c>
      <c r="X38" s="1" t="n">
        <v>12</v>
      </c>
      <c r="Y38" s="1" t="n">
        <v>0.824</v>
      </c>
    </row>
    <row r="39" customFormat="false" ht="12.75" hidden="false" customHeight="false" outlineLevel="0" collapsed="false">
      <c r="A39" s="1" t="s">
        <v>196</v>
      </c>
      <c r="B39" s="1" t="n">
        <v>0</v>
      </c>
      <c r="C39" s="1" t="n">
        <v>6.21</v>
      </c>
      <c r="D39" s="1" t="n">
        <v>109.3</v>
      </c>
      <c r="E39" s="1" t="n">
        <v>98.4</v>
      </c>
      <c r="F39" s="1" t="n">
        <f aca="false">D39-E39</f>
        <v>10.9</v>
      </c>
      <c r="G39" s="1" t="n">
        <v>2.1</v>
      </c>
      <c r="H39" s="25" t="n">
        <v>0.5877</v>
      </c>
      <c r="I39" s="5" t="n">
        <v>0.624</v>
      </c>
      <c r="J39" s="1" t="n">
        <v>11.5</v>
      </c>
      <c r="K39" s="3" t="n">
        <v>7</v>
      </c>
      <c r="L39" s="1" t="n">
        <v>1</v>
      </c>
      <c r="M39" s="30" t="n">
        <v>44.1</v>
      </c>
      <c r="N39" s="1" t="n">
        <v>7</v>
      </c>
      <c r="O39" s="1" t="n">
        <v>0.59</v>
      </c>
      <c r="P39" s="1" t="n">
        <v>6</v>
      </c>
      <c r="Q39" s="1" t="n">
        <v>70.6</v>
      </c>
      <c r="R39" s="14" t="n">
        <v>32</v>
      </c>
      <c r="S39" s="14" t="n">
        <v>1</v>
      </c>
      <c r="T39" s="14" t="n">
        <v>7</v>
      </c>
      <c r="U39" s="1" t="n">
        <v>0</v>
      </c>
      <c r="V39" s="1" t="n">
        <v>34.6</v>
      </c>
      <c r="W39" s="1" t="n">
        <v>0</v>
      </c>
      <c r="X39" s="1" t="n">
        <v>4</v>
      </c>
      <c r="Y39" s="1" t="n">
        <v>0.613</v>
      </c>
    </row>
    <row r="40" customFormat="false" ht="12.75" hidden="false" customHeight="false" outlineLevel="0" collapsed="false">
      <c r="A40" s="1" t="s">
        <v>197</v>
      </c>
      <c r="B40" s="1" t="n">
        <v>0</v>
      </c>
      <c r="C40" s="1" t="n">
        <v>5.18</v>
      </c>
      <c r="D40" s="1" t="n">
        <v>112.7</v>
      </c>
      <c r="E40" s="1" t="n">
        <v>99.8</v>
      </c>
      <c r="F40" s="1" t="n">
        <f aca="false">D40-E40</f>
        <v>12.9</v>
      </c>
      <c r="G40" s="1" t="n">
        <v>8.1</v>
      </c>
      <c r="H40" s="25" t="n">
        <v>0.5686</v>
      </c>
      <c r="I40" s="5" t="n">
        <v>0.729</v>
      </c>
      <c r="J40" s="1" t="n">
        <v>11.7</v>
      </c>
      <c r="K40" s="3" t="n">
        <f aca="false">1+1+1+1+1+1</f>
        <v>6</v>
      </c>
      <c r="L40" s="1" t="n">
        <v>1</v>
      </c>
      <c r="M40" s="30" t="n">
        <v>46</v>
      </c>
      <c r="N40" s="1" t="n">
        <v>10</v>
      </c>
      <c r="O40" s="1" t="n">
        <v>0.5757</v>
      </c>
      <c r="P40" s="1" t="n">
        <v>4</v>
      </c>
      <c r="Q40" s="1" t="n">
        <v>68.7</v>
      </c>
      <c r="R40" s="14" t="n">
        <v>34</v>
      </c>
      <c r="S40" s="14" t="n">
        <v>0</v>
      </c>
      <c r="T40" s="14" t="n">
        <v>5</v>
      </c>
      <c r="U40" s="1" t="n">
        <v>0</v>
      </c>
      <c r="V40" s="1" t="n">
        <v>37.6</v>
      </c>
      <c r="W40" s="1" t="n">
        <v>3</v>
      </c>
      <c r="X40" s="1" t="n">
        <v>11</v>
      </c>
      <c r="Y40" s="1" t="n">
        <v>0.656</v>
      </c>
    </row>
    <row r="41" customFormat="false" ht="12.75" hidden="false" customHeight="false" outlineLevel="0" collapsed="false">
      <c r="A41" s="1" t="s">
        <v>50</v>
      </c>
      <c r="B41" s="1" t="n">
        <v>1</v>
      </c>
      <c r="C41" s="1" t="n">
        <v>7.28</v>
      </c>
      <c r="D41" s="1" t="n">
        <v>107.9</v>
      </c>
      <c r="E41" s="1" t="n">
        <v>95.7</v>
      </c>
      <c r="F41" s="1" t="n">
        <f aca="false">D41-E41</f>
        <v>12.2</v>
      </c>
      <c r="G41" s="1" t="n">
        <v>4.2</v>
      </c>
      <c r="H41" s="25" t="n">
        <v>0.5571</v>
      </c>
      <c r="I41" s="5" t="n">
        <v>0.59</v>
      </c>
      <c r="J41" s="1" t="n">
        <v>11.5</v>
      </c>
      <c r="K41" s="3" t="n">
        <v>5</v>
      </c>
      <c r="L41" s="1" t="n">
        <v>0</v>
      </c>
      <c r="M41" s="30" t="n">
        <v>42.2</v>
      </c>
      <c r="N41" s="1" t="n">
        <v>9</v>
      </c>
      <c r="O41" s="1" t="n">
        <v>0.583</v>
      </c>
      <c r="P41" s="1" t="n">
        <v>5</v>
      </c>
      <c r="Q41" s="1" t="n">
        <v>69.7</v>
      </c>
      <c r="R41" s="14" t="n">
        <v>31</v>
      </c>
      <c r="S41" s="14" t="n">
        <v>0</v>
      </c>
      <c r="T41" s="14" t="n">
        <v>47</v>
      </c>
      <c r="U41" s="1" t="n">
        <v>0</v>
      </c>
      <c r="V41" s="1" t="n">
        <v>36.6</v>
      </c>
      <c r="W41" s="1" t="n">
        <v>0</v>
      </c>
      <c r="X41" s="1" t="n">
        <v>3</v>
      </c>
      <c r="Y41" s="1" t="n">
        <v>0.697</v>
      </c>
    </row>
    <row r="42" customFormat="false" ht="12.75" hidden="false" customHeight="false" outlineLevel="0" collapsed="false">
      <c r="A42" s="1" t="s">
        <v>69</v>
      </c>
      <c r="B42" s="1" t="n">
        <v>0</v>
      </c>
      <c r="C42" s="1" t="n">
        <v>11.34</v>
      </c>
      <c r="D42" s="1" t="n">
        <v>115.3</v>
      </c>
      <c r="E42" s="1" t="n">
        <v>94.5</v>
      </c>
      <c r="F42" s="1" t="n">
        <f aca="false">D42-E42</f>
        <v>20.8</v>
      </c>
      <c r="G42" s="1" t="n">
        <v>13.1</v>
      </c>
      <c r="H42" s="25" t="n">
        <v>0.5654</v>
      </c>
      <c r="I42" s="5" t="n">
        <v>0.656</v>
      </c>
      <c r="J42" s="1" t="n">
        <v>11.9</v>
      </c>
      <c r="K42" s="3" t="n">
        <v>8</v>
      </c>
      <c r="L42" s="1" t="n">
        <v>1</v>
      </c>
      <c r="M42" s="30" t="n">
        <v>47.2</v>
      </c>
      <c r="N42" s="1" t="n">
        <v>5</v>
      </c>
      <c r="O42" s="1" t="n">
        <v>0.6134</v>
      </c>
      <c r="P42" s="1" t="n">
        <v>7</v>
      </c>
      <c r="Q42" s="1" t="n">
        <v>64.6</v>
      </c>
      <c r="R42" s="14" t="n">
        <v>32</v>
      </c>
      <c r="S42" s="14" t="n">
        <v>0</v>
      </c>
      <c r="T42" s="14" t="n">
        <v>47</v>
      </c>
      <c r="U42" s="1" t="n">
        <v>0</v>
      </c>
      <c r="V42" s="1" t="n">
        <v>40.9</v>
      </c>
      <c r="W42" s="1" t="n">
        <v>2</v>
      </c>
      <c r="X42" s="1" t="n">
        <v>9</v>
      </c>
      <c r="Y42" s="1" t="n">
        <v>0.765</v>
      </c>
    </row>
    <row r="43" customFormat="false" ht="12.75" hidden="false" customHeight="false" outlineLevel="0" collapsed="false">
      <c r="A43" s="1" t="s">
        <v>73</v>
      </c>
      <c r="B43" s="1" t="n">
        <v>0</v>
      </c>
      <c r="C43" s="1" t="n">
        <v>3.04</v>
      </c>
      <c r="D43" s="1" t="n">
        <v>110.7</v>
      </c>
      <c r="E43" s="1" t="n">
        <v>94</v>
      </c>
      <c r="F43" s="1" t="n">
        <f aca="false">D43-E43</f>
        <v>16.7</v>
      </c>
      <c r="G43" s="1" t="n">
        <v>7.1</v>
      </c>
      <c r="H43" s="25" t="n">
        <v>0.5624</v>
      </c>
      <c r="I43" s="5" t="n">
        <v>0.524</v>
      </c>
      <c r="J43" s="1" t="n">
        <v>13.8</v>
      </c>
      <c r="K43" s="3" t="n">
        <v>5</v>
      </c>
      <c r="L43" s="1" t="n">
        <v>0</v>
      </c>
      <c r="M43" s="30" t="n">
        <v>45</v>
      </c>
      <c r="N43" s="1" t="n">
        <v>6</v>
      </c>
      <c r="O43" s="1" t="n">
        <v>0.6034</v>
      </c>
      <c r="P43" s="1" t="n">
        <v>8</v>
      </c>
      <c r="Q43" s="1" t="n">
        <v>67.8</v>
      </c>
      <c r="R43" s="14" t="n">
        <v>33</v>
      </c>
      <c r="S43" s="14" t="n">
        <v>0</v>
      </c>
      <c r="T43" s="14" t="n">
        <v>36</v>
      </c>
      <c r="U43" s="1" t="n">
        <v>0</v>
      </c>
      <c r="V43" s="1" t="n">
        <v>40</v>
      </c>
      <c r="W43" s="1" t="n">
        <v>0</v>
      </c>
      <c r="X43" s="1" t="n">
        <v>1</v>
      </c>
      <c r="Y43" s="1" t="n">
        <v>0.758</v>
      </c>
    </row>
    <row r="44" customFormat="false" ht="12.75" hidden="false" customHeight="false" outlineLevel="0" collapsed="false">
      <c r="A44" s="1" t="s">
        <v>66</v>
      </c>
      <c r="B44" s="1" t="n">
        <v>1</v>
      </c>
      <c r="C44" s="1" t="n">
        <v>-6.09</v>
      </c>
      <c r="D44" s="1" t="n">
        <v>110.4</v>
      </c>
      <c r="E44" s="1" t="n">
        <v>95.7</v>
      </c>
      <c r="F44" s="1" t="n">
        <f aca="false">D44-E44</f>
        <v>14.7</v>
      </c>
      <c r="G44" s="1" t="n">
        <v>17.6</v>
      </c>
      <c r="H44" s="25" t="n">
        <v>0.4718</v>
      </c>
      <c r="I44" s="5" t="n">
        <v>0.871</v>
      </c>
      <c r="J44" s="1" t="n">
        <v>12.4</v>
      </c>
      <c r="K44" s="3" t="n">
        <v>0</v>
      </c>
      <c r="L44" s="1" t="n">
        <v>0</v>
      </c>
      <c r="M44" s="30" t="n">
        <v>48.4</v>
      </c>
      <c r="N44" s="1" t="n">
        <v>14</v>
      </c>
      <c r="O44" s="1" t="n">
        <v>0.564</v>
      </c>
      <c r="P44" s="1" t="n">
        <v>10</v>
      </c>
      <c r="Q44" s="1" t="n">
        <v>64.2</v>
      </c>
      <c r="R44" s="14" t="n">
        <v>34</v>
      </c>
      <c r="S44" s="14" t="n">
        <v>0</v>
      </c>
      <c r="T44" s="14" t="n">
        <v>12</v>
      </c>
      <c r="U44" s="1" t="n">
        <v>0</v>
      </c>
      <c r="V44" s="1" t="n">
        <v>33.7</v>
      </c>
      <c r="W44" s="1" t="n">
        <v>0</v>
      </c>
      <c r="X44" s="1" t="n">
        <v>3</v>
      </c>
      <c r="Y44" s="1" t="n">
        <v>0.844</v>
      </c>
    </row>
    <row r="45" customFormat="false" ht="12.75" hidden="false" customHeight="false" outlineLevel="0" collapsed="false">
      <c r="A45" s="1" t="s">
        <v>198</v>
      </c>
      <c r="B45" s="1" t="n">
        <v>0</v>
      </c>
      <c r="C45" s="1" t="n">
        <v>1.19</v>
      </c>
      <c r="D45" s="1" t="n">
        <v>109.1</v>
      </c>
      <c r="E45" s="1" t="n">
        <v>100.5</v>
      </c>
      <c r="F45" s="1" t="n">
        <f aca="false">D45-E45</f>
        <v>8.59999999999999</v>
      </c>
      <c r="G45" s="1" t="n">
        <v>8.5</v>
      </c>
      <c r="H45" s="25" t="n">
        <v>0.5107</v>
      </c>
      <c r="I45" s="5" t="n">
        <v>0.54</v>
      </c>
      <c r="J45" s="1" t="n">
        <v>11.9</v>
      </c>
      <c r="K45" s="3" t="n">
        <v>0</v>
      </c>
      <c r="L45" s="1" t="n">
        <v>0</v>
      </c>
      <c r="M45" s="30" t="n">
        <v>45.1</v>
      </c>
      <c r="N45" s="1" t="n">
        <v>12</v>
      </c>
      <c r="O45" s="1" t="n">
        <v>0.5885</v>
      </c>
      <c r="P45" s="1" t="n">
        <v>8</v>
      </c>
      <c r="Q45" s="1" t="n">
        <v>68.8</v>
      </c>
      <c r="R45" s="14" t="n">
        <v>34</v>
      </c>
      <c r="S45" s="14" t="n">
        <v>0</v>
      </c>
      <c r="T45" s="14" t="n">
        <v>28</v>
      </c>
      <c r="U45" s="1" t="n">
        <v>0</v>
      </c>
      <c r="V45" s="1" t="n">
        <v>37.5</v>
      </c>
      <c r="W45" s="1" t="n">
        <v>0</v>
      </c>
      <c r="X45" s="1" t="n">
        <v>3</v>
      </c>
      <c r="Y45" s="1" t="n">
        <v>0.788</v>
      </c>
    </row>
    <row r="46" customFormat="false" ht="12.75" hidden="false" customHeight="false" outlineLevel="0" collapsed="false">
      <c r="A46" s="1" t="s">
        <v>199</v>
      </c>
      <c r="B46" s="1" t="n">
        <v>-1</v>
      </c>
      <c r="C46" s="1" t="n">
        <v>-9.83</v>
      </c>
      <c r="D46" s="1" t="n">
        <v>100</v>
      </c>
      <c r="E46" s="1" t="n">
        <v>105.4</v>
      </c>
      <c r="F46" s="1" t="n">
        <f aca="false">D46-E46</f>
        <v>-5.40000000000001</v>
      </c>
      <c r="G46" s="1" t="n">
        <v>3.9</v>
      </c>
      <c r="H46" s="25" t="n">
        <v>0.4266</v>
      </c>
      <c r="I46" s="5" t="n">
        <v>0.6</v>
      </c>
      <c r="J46" s="1" t="n">
        <v>11.2</v>
      </c>
      <c r="K46" s="3" t="n">
        <v>0</v>
      </c>
      <c r="L46" s="1" t="n">
        <v>0</v>
      </c>
      <c r="M46" s="30" t="n">
        <v>44.6</v>
      </c>
      <c r="N46" s="1" t="n">
        <v>16</v>
      </c>
      <c r="O46" s="36" t="n">
        <v>0.489</v>
      </c>
      <c r="P46" s="1" t="n">
        <v>6</v>
      </c>
      <c r="Q46" s="1" t="n">
        <v>69.4</v>
      </c>
      <c r="R46" s="14" t="n">
        <v>33</v>
      </c>
      <c r="S46" s="14" t="n">
        <v>0</v>
      </c>
      <c r="T46" s="14" t="n">
        <v>20</v>
      </c>
      <c r="U46" s="1" t="n">
        <v>0</v>
      </c>
      <c r="V46" s="1" t="n">
        <v>35.5</v>
      </c>
      <c r="W46" s="1" t="n">
        <v>0</v>
      </c>
      <c r="X46" s="1" t="n">
        <v>2</v>
      </c>
      <c r="Y46" s="1" t="n">
        <v>0.647</v>
      </c>
    </row>
    <row r="47" customFormat="false" ht="12.75" hidden="false" customHeight="false" outlineLevel="0" collapsed="false">
      <c r="A47" s="1" t="s">
        <v>200</v>
      </c>
      <c r="B47" s="1" t="n">
        <v>2</v>
      </c>
      <c r="C47" s="1" t="n">
        <v>4.12</v>
      </c>
      <c r="D47" s="1" t="n">
        <v>112.9</v>
      </c>
      <c r="E47" s="1" t="n">
        <v>99.2</v>
      </c>
      <c r="F47" s="1" t="n">
        <f aca="false">D47-E47</f>
        <v>13.7</v>
      </c>
      <c r="G47" s="1" t="n">
        <v>7.7</v>
      </c>
      <c r="H47" s="25" t="n">
        <v>0.5549</v>
      </c>
      <c r="I47" s="5" t="n">
        <v>0.596</v>
      </c>
      <c r="J47" s="1" t="n">
        <v>10.1</v>
      </c>
      <c r="K47" s="3" t="n">
        <v>4</v>
      </c>
      <c r="L47" s="1" t="n">
        <v>0</v>
      </c>
      <c r="M47" s="30" t="n">
        <v>45.4</v>
      </c>
      <c r="N47" s="1" t="n">
        <v>8</v>
      </c>
      <c r="O47" s="1" t="n">
        <v>0.6055</v>
      </c>
      <c r="P47" s="1" t="n">
        <v>7</v>
      </c>
      <c r="Q47" s="1" t="n">
        <v>69.9</v>
      </c>
      <c r="R47" s="14" t="n">
        <v>33</v>
      </c>
      <c r="S47" s="14" t="n">
        <v>0</v>
      </c>
      <c r="T47" s="14" t="n">
        <v>47</v>
      </c>
      <c r="U47" s="1" t="n">
        <v>0</v>
      </c>
      <c r="V47" s="1" t="n">
        <v>38.6</v>
      </c>
      <c r="W47" s="1" t="n">
        <v>0</v>
      </c>
      <c r="X47" s="1" t="n">
        <v>7</v>
      </c>
      <c r="Y47" s="1" t="n">
        <v>0.794</v>
      </c>
    </row>
    <row r="48" customFormat="false" ht="12.75" hidden="false" customHeight="false" outlineLevel="0" collapsed="false">
      <c r="A48" s="1" t="s">
        <v>201</v>
      </c>
      <c r="B48" s="1" t="n">
        <v>0</v>
      </c>
      <c r="C48" s="1" t="n">
        <v>-6.94</v>
      </c>
      <c r="D48" s="1" t="n">
        <v>105.8</v>
      </c>
      <c r="E48" s="1" t="n">
        <v>98.4</v>
      </c>
      <c r="F48" s="1" t="n">
        <f aca="false">D48-E48</f>
        <v>7.39999999999999</v>
      </c>
      <c r="G48" s="1" t="n">
        <v>13.4</v>
      </c>
      <c r="H48" s="25" t="n">
        <v>0.4819</v>
      </c>
      <c r="I48" s="5" t="n">
        <v>0.553</v>
      </c>
      <c r="J48" s="1" t="n">
        <v>11.4</v>
      </c>
      <c r="K48" s="3" t="n">
        <v>0</v>
      </c>
      <c r="L48" s="1" t="n">
        <v>0</v>
      </c>
      <c r="M48" s="30" t="n">
        <v>47.7</v>
      </c>
      <c r="N48" s="1" t="n">
        <v>13</v>
      </c>
      <c r="O48" s="1" t="n">
        <v>0.5665</v>
      </c>
      <c r="P48" s="1" t="n">
        <v>8</v>
      </c>
      <c r="Q48" s="1" t="n">
        <v>65.2</v>
      </c>
      <c r="R48" s="14" t="n">
        <v>34</v>
      </c>
      <c r="S48" s="14" t="n">
        <v>0</v>
      </c>
      <c r="T48" s="14" t="n">
        <v>47</v>
      </c>
      <c r="U48" s="1" t="n">
        <v>0</v>
      </c>
      <c r="V48" s="1" t="n">
        <v>38.3</v>
      </c>
      <c r="W48" s="1" t="n">
        <v>0</v>
      </c>
      <c r="X48" s="1" t="n">
        <v>1</v>
      </c>
      <c r="Y48" s="1" t="n">
        <v>0.813</v>
      </c>
    </row>
    <row r="49" customFormat="false" ht="12.75" hidden="false" customHeight="false" outlineLevel="0" collapsed="false">
      <c r="A49" s="1" t="s">
        <v>81</v>
      </c>
      <c r="B49" s="1" t="n">
        <v>4</v>
      </c>
      <c r="C49" s="1" t="n">
        <v>9.44</v>
      </c>
      <c r="D49" s="1" t="n">
        <v>109.4</v>
      </c>
      <c r="E49" s="1" t="n">
        <v>96.4</v>
      </c>
      <c r="F49" s="1" t="n">
        <f aca="false">D49-E49</f>
        <v>13</v>
      </c>
      <c r="G49" s="1" t="n">
        <v>4.5</v>
      </c>
      <c r="H49" s="25" t="n">
        <v>0.5621</v>
      </c>
      <c r="I49" s="5" t="n">
        <v>0.74</v>
      </c>
      <c r="J49" s="1" t="n">
        <v>12.1</v>
      </c>
      <c r="K49" s="3" t="n">
        <v>4</v>
      </c>
      <c r="L49" s="1" t="n">
        <v>1</v>
      </c>
      <c r="M49" s="30" t="n">
        <v>42.7</v>
      </c>
      <c r="N49" s="1" t="n">
        <v>10</v>
      </c>
      <c r="O49" s="1" t="n">
        <v>0.5643</v>
      </c>
      <c r="P49" s="1" t="n">
        <v>5</v>
      </c>
      <c r="Q49" s="1" t="n">
        <v>65.7</v>
      </c>
      <c r="R49" s="14" t="n">
        <v>32</v>
      </c>
      <c r="S49" s="14" t="n">
        <v>0</v>
      </c>
      <c r="T49" s="14" t="n">
        <v>30</v>
      </c>
      <c r="U49" s="1" t="n">
        <v>0</v>
      </c>
      <c r="V49" s="1" t="n">
        <v>35.3</v>
      </c>
      <c r="W49" s="1" t="n">
        <v>17</v>
      </c>
      <c r="X49" s="1" t="n">
        <v>32</v>
      </c>
      <c r="Y49" s="1" t="n">
        <v>0.594</v>
      </c>
    </row>
    <row r="50" customFormat="false" ht="12.75" hidden="false" customHeight="false" outlineLevel="0" collapsed="false">
      <c r="A50" s="1" t="s">
        <v>202</v>
      </c>
      <c r="B50" s="1" t="n">
        <v>0</v>
      </c>
      <c r="C50" s="1" t="n">
        <v>6.4</v>
      </c>
      <c r="D50" s="1" t="n">
        <v>105.1</v>
      </c>
      <c r="E50" s="1" t="n">
        <v>97.5</v>
      </c>
      <c r="F50" s="1" t="n">
        <f aca="false">D50-E50</f>
        <v>7.59999999999999</v>
      </c>
      <c r="G50" s="1" t="n">
        <v>1.2</v>
      </c>
      <c r="H50" s="25" t="n">
        <v>0.5461</v>
      </c>
      <c r="I50" s="5" t="n">
        <v>0.65</v>
      </c>
      <c r="J50" s="1" t="n">
        <v>9.2</v>
      </c>
      <c r="K50" s="3" t="n">
        <f aca="false">(0+0+0+1+0+0+1+1+1+1+1+0+0+0)</f>
        <v>6</v>
      </c>
      <c r="L50" s="1" t="n">
        <v>0</v>
      </c>
      <c r="M50" s="30" t="n">
        <v>40.5</v>
      </c>
      <c r="N50" s="1" t="n">
        <v>10</v>
      </c>
      <c r="O50" s="1" t="n">
        <v>0.5677</v>
      </c>
      <c r="P50" s="1" t="n">
        <v>7</v>
      </c>
      <c r="Q50" s="1" t="n">
        <v>67.4</v>
      </c>
      <c r="R50" s="14" t="n">
        <v>32</v>
      </c>
      <c r="S50" s="14" t="n">
        <v>0</v>
      </c>
      <c r="T50" s="14" t="n">
        <v>43</v>
      </c>
      <c r="U50" s="1" t="n">
        <v>0</v>
      </c>
      <c r="V50" s="1" t="n">
        <v>36.7</v>
      </c>
      <c r="W50" s="1" t="n">
        <v>0</v>
      </c>
      <c r="X50" s="1" t="n">
        <v>16</v>
      </c>
      <c r="Y50" s="1" t="n">
        <v>0.656</v>
      </c>
    </row>
    <row r="51" customFormat="false" ht="12.75" hidden="false" customHeight="false" outlineLevel="0" collapsed="false">
      <c r="A51" s="1" t="s">
        <v>203</v>
      </c>
      <c r="B51" s="1" t="n">
        <v>1</v>
      </c>
      <c r="C51" s="1" t="n">
        <v>-4.33</v>
      </c>
      <c r="D51" s="1" t="n">
        <v>102.2</v>
      </c>
      <c r="E51" s="1" t="n">
        <v>99</v>
      </c>
      <c r="F51" s="1" t="n">
        <f aca="false">D51-E51</f>
        <v>3.2</v>
      </c>
      <c r="G51" s="1" t="n">
        <v>4.4</v>
      </c>
      <c r="H51" s="25" t="n">
        <v>0.5023</v>
      </c>
      <c r="I51" s="34" t="n">
        <v>0.607</v>
      </c>
      <c r="J51" s="1" t="n">
        <v>12.1</v>
      </c>
      <c r="K51" s="3" t="n">
        <v>1</v>
      </c>
      <c r="L51" s="1" t="n">
        <v>0</v>
      </c>
      <c r="M51" s="30" t="n">
        <v>45.1</v>
      </c>
      <c r="N51" s="1" t="n">
        <v>15</v>
      </c>
      <c r="O51" s="36" t="n">
        <v>0.5562</v>
      </c>
      <c r="P51" s="1" t="n">
        <v>7</v>
      </c>
      <c r="Q51" s="1" t="n">
        <v>69.5</v>
      </c>
      <c r="R51" s="14" t="n">
        <v>32</v>
      </c>
      <c r="S51" s="14" t="n">
        <v>4</v>
      </c>
      <c r="T51" s="14" t="n">
        <v>47</v>
      </c>
      <c r="U51" s="1" t="n">
        <v>0</v>
      </c>
      <c r="V51" s="1" t="n">
        <v>36.3</v>
      </c>
      <c r="W51" s="1" t="n">
        <v>0</v>
      </c>
      <c r="X51" s="1" t="n">
        <v>0</v>
      </c>
      <c r="Y51" s="1" t="n">
        <v>0.727</v>
      </c>
    </row>
    <row r="52" customFormat="false" ht="12.75" hidden="false" customHeight="false" outlineLevel="0" collapsed="false">
      <c r="A52" s="1" t="s">
        <v>33</v>
      </c>
      <c r="B52" s="1" t="n">
        <v>0</v>
      </c>
      <c r="C52" s="1" t="n">
        <v>5.87</v>
      </c>
      <c r="D52" s="1" t="n">
        <v>111.5</v>
      </c>
      <c r="E52" s="1" t="n">
        <v>96</v>
      </c>
      <c r="F52" s="1" t="n">
        <f aca="false">D52-E52</f>
        <v>15.5</v>
      </c>
      <c r="G52" s="1" t="n">
        <v>3.3</v>
      </c>
      <c r="H52" s="29" t="n">
        <v>0.5988</v>
      </c>
      <c r="I52" s="5" t="n">
        <v>0.729</v>
      </c>
      <c r="J52" s="1" t="n">
        <v>10.4</v>
      </c>
      <c r="K52" s="3" t="n">
        <v>0</v>
      </c>
      <c r="L52" s="1" t="n">
        <v>1</v>
      </c>
      <c r="M52" s="30" t="n">
        <v>43.2</v>
      </c>
      <c r="N52" s="1" t="n">
        <v>6</v>
      </c>
      <c r="O52" s="41" t="n">
        <v>0.5949</v>
      </c>
      <c r="P52" s="1" t="n">
        <v>5</v>
      </c>
      <c r="Q52" s="1" t="n">
        <v>68.1</v>
      </c>
      <c r="R52" s="14" t="n">
        <v>32</v>
      </c>
      <c r="S52" s="14" t="n">
        <v>0</v>
      </c>
      <c r="T52" s="14" t="n">
        <v>47</v>
      </c>
      <c r="U52" s="1" t="n">
        <v>0</v>
      </c>
      <c r="V52" s="1" t="n">
        <v>34.6</v>
      </c>
      <c r="W52" s="1" t="n">
        <v>1</v>
      </c>
      <c r="X52" s="1" t="n">
        <v>6</v>
      </c>
      <c r="Y52" s="1" t="n">
        <v>0.625</v>
      </c>
    </row>
    <row r="53" customFormat="false" ht="12.75" hidden="false" customHeight="false" outlineLevel="0" collapsed="false">
      <c r="A53" s="1" t="s">
        <v>49</v>
      </c>
      <c r="B53" s="1" t="n">
        <v>0</v>
      </c>
      <c r="C53" s="1" t="n">
        <v>2.03</v>
      </c>
      <c r="D53" s="1" t="n">
        <v>112.6</v>
      </c>
      <c r="E53" s="1" t="n">
        <v>93.7</v>
      </c>
      <c r="F53" s="1" t="n">
        <f aca="false">D53-E53</f>
        <v>18.9</v>
      </c>
      <c r="G53" s="1" t="n">
        <v>10.4</v>
      </c>
      <c r="H53" s="25" t="n">
        <v>0.557</v>
      </c>
      <c r="I53" s="5" t="n">
        <v>0.554</v>
      </c>
      <c r="J53" s="1" t="n">
        <v>11.8</v>
      </c>
      <c r="K53" s="3" t="n">
        <v>7</v>
      </c>
      <c r="L53" s="1" t="n">
        <v>1</v>
      </c>
      <c r="M53" s="30" t="n">
        <v>44.9</v>
      </c>
      <c r="N53" s="1" t="n">
        <v>3</v>
      </c>
      <c r="O53" s="1" t="n">
        <v>0.607</v>
      </c>
      <c r="P53" s="1" t="n">
        <v>8</v>
      </c>
      <c r="Q53" s="1" t="n">
        <v>65.5</v>
      </c>
      <c r="R53" s="14" t="n">
        <v>32</v>
      </c>
      <c r="S53" s="14" t="n">
        <v>1</v>
      </c>
      <c r="T53" s="14" t="n">
        <v>26</v>
      </c>
      <c r="U53" s="1" t="n">
        <v>0</v>
      </c>
      <c r="V53" s="1" t="n">
        <v>38.9</v>
      </c>
      <c r="W53" s="1" t="n">
        <v>0</v>
      </c>
      <c r="X53" s="1" t="n">
        <v>3</v>
      </c>
      <c r="Y53" s="1" t="n">
        <v>0.613</v>
      </c>
    </row>
    <row r="54" customFormat="false" ht="12.75" hidden="false" customHeight="false" outlineLevel="0" collapsed="false">
      <c r="A54" s="1" t="s">
        <v>65</v>
      </c>
      <c r="B54" s="1" t="n">
        <v>0</v>
      </c>
      <c r="C54" s="1" t="n">
        <v>3.52</v>
      </c>
      <c r="D54" s="1" t="n">
        <v>113.5</v>
      </c>
      <c r="E54" s="1" t="n">
        <v>100.1</v>
      </c>
      <c r="F54" s="1" t="n">
        <v>13.4</v>
      </c>
      <c r="G54" s="1" t="n">
        <v>2.5</v>
      </c>
      <c r="H54" s="25" t="n">
        <v>0.5894</v>
      </c>
      <c r="I54" s="5" t="n">
        <v>0.669</v>
      </c>
      <c r="J54" s="1" t="n">
        <v>12</v>
      </c>
      <c r="K54" s="3" t="n">
        <v>7</v>
      </c>
      <c r="L54" s="1" t="n">
        <v>1</v>
      </c>
      <c r="M54" s="30" t="n">
        <v>44.7</v>
      </c>
      <c r="N54" s="1" t="n">
        <v>8</v>
      </c>
      <c r="O54" s="1" t="n">
        <v>0.5863</v>
      </c>
      <c r="P54" s="1" t="n">
        <v>7</v>
      </c>
      <c r="Q54" s="1" t="n">
        <v>69.8</v>
      </c>
      <c r="R54" s="14" t="n">
        <v>34</v>
      </c>
      <c r="S54" s="14" t="n">
        <v>0</v>
      </c>
      <c r="T54" s="14" t="n">
        <v>15</v>
      </c>
      <c r="U54" s="1" t="n">
        <v>0</v>
      </c>
      <c r="V54" s="1" t="n">
        <v>34.1</v>
      </c>
      <c r="W54" s="1" t="n">
        <v>9</v>
      </c>
      <c r="X54" s="1" t="n">
        <v>18</v>
      </c>
    </row>
    <row r="55" customFormat="false" ht="12.75" hidden="false" customHeight="false" outlineLevel="0" collapsed="false">
      <c r="A55" s="1" t="s">
        <v>204</v>
      </c>
      <c r="B55" s="1" t="n">
        <v>-1</v>
      </c>
      <c r="C55" s="1" t="n">
        <v>5.08</v>
      </c>
      <c r="D55" s="1" t="n">
        <v>110.8</v>
      </c>
      <c r="E55" s="1" t="n">
        <v>99.7</v>
      </c>
      <c r="F55" s="1" t="n">
        <f aca="false">D55-E55</f>
        <v>11.1</v>
      </c>
      <c r="G55" s="1" t="n">
        <v>4.3</v>
      </c>
      <c r="H55" s="42" t="n">
        <v>0.5516</v>
      </c>
      <c r="I55" s="5" t="n">
        <v>0.622</v>
      </c>
      <c r="J55" s="1" t="n">
        <v>10.8</v>
      </c>
      <c r="K55" s="3" t="n">
        <v>4</v>
      </c>
      <c r="L55" s="1" t="n">
        <v>0</v>
      </c>
      <c r="M55" s="30" t="n">
        <v>44.4</v>
      </c>
      <c r="N55" s="1" t="n">
        <v>11</v>
      </c>
      <c r="O55" s="1" t="n">
        <v>0.5682</v>
      </c>
      <c r="P55" s="1" t="n">
        <v>6</v>
      </c>
      <c r="Q55" s="1" t="n">
        <v>69.7</v>
      </c>
      <c r="R55" s="14" t="n">
        <v>30</v>
      </c>
      <c r="S55" s="14" t="n">
        <v>1</v>
      </c>
      <c r="T55" s="14" t="n">
        <v>47</v>
      </c>
      <c r="U55" s="1" t="n">
        <v>0</v>
      </c>
      <c r="V55" s="1" t="n">
        <v>35.1</v>
      </c>
      <c r="W55" s="1" t="n">
        <v>0</v>
      </c>
      <c r="X55" s="1" t="n">
        <v>4</v>
      </c>
      <c r="Y55" s="1" t="n">
        <v>0.645</v>
      </c>
    </row>
    <row r="56" customFormat="false" ht="12.75" hidden="false" customHeight="false" outlineLevel="0" collapsed="false">
      <c r="A56" s="1" t="s">
        <v>205</v>
      </c>
      <c r="B56" s="1" t="n">
        <v>0</v>
      </c>
      <c r="C56" s="1" t="n">
        <v>-9.99</v>
      </c>
      <c r="D56" s="1" t="n">
        <v>102.5</v>
      </c>
      <c r="E56" s="1" t="n">
        <v>98.2</v>
      </c>
      <c r="F56" s="1" t="n">
        <f aca="false">D56-E56</f>
        <v>4.3</v>
      </c>
      <c r="G56" s="1" t="n">
        <v>8.2</v>
      </c>
      <c r="H56" s="25" t="n">
        <v>0.4721</v>
      </c>
      <c r="I56" s="5" t="n">
        <v>0.562</v>
      </c>
      <c r="J56" s="1" t="n">
        <v>13</v>
      </c>
      <c r="K56" s="3" t="n">
        <v>0</v>
      </c>
      <c r="L56" s="1" t="n">
        <v>0</v>
      </c>
      <c r="M56" s="30" t="n">
        <v>45.8</v>
      </c>
      <c r="N56" s="1" t="n">
        <v>15</v>
      </c>
      <c r="O56" s="1" t="n">
        <v>0.5179</v>
      </c>
      <c r="P56" s="1" t="n">
        <v>7</v>
      </c>
      <c r="Q56" s="1" t="n">
        <v>69</v>
      </c>
      <c r="R56" s="14" t="n">
        <v>31</v>
      </c>
      <c r="S56" s="14" t="n">
        <v>0</v>
      </c>
      <c r="T56" s="14" t="n">
        <v>47</v>
      </c>
      <c r="U56" s="1" t="n">
        <v>0</v>
      </c>
      <c r="V56" s="1" t="n">
        <v>37</v>
      </c>
      <c r="W56" s="1" t="n">
        <v>0</v>
      </c>
      <c r="X56" s="1" t="n">
        <v>1</v>
      </c>
      <c r="Y56" s="1" t="n">
        <v>0.645</v>
      </c>
    </row>
    <row r="57" customFormat="false" ht="12.75" hidden="false" customHeight="false" outlineLevel="0" collapsed="false">
      <c r="A57" s="1" t="s">
        <v>130</v>
      </c>
      <c r="B57" s="1" t="n">
        <v>0</v>
      </c>
      <c r="C57" s="1" t="n">
        <v>-2.77</v>
      </c>
      <c r="D57" s="1" t="n">
        <v>109.4</v>
      </c>
      <c r="E57" s="1" t="n">
        <v>100.4</v>
      </c>
      <c r="F57" s="1" t="n">
        <f aca="false">D57-E57</f>
        <v>9</v>
      </c>
      <c r="G57" s="1" t="n">
        <v>7.8</v>
      </c>
      <c r="H57" s="25" t="n">
        <v>0.5121</v>
      </c>
      <c r="I57" s="5" t="n">
        <v>0.672</v>
      </c>
      <c r="J57" s="1" t="n">
        <v>11.4</v>
      </c>
      <c r="K57" s="3" t="n">
        <v>0</v>
      </c>
      <c r="L57" s="1" t="n">
        <v>0</v>
      </c>
      <c r="M57" s="30" t="n">
        <v>45.6</v>
      </c>
      <c r="N57" s="1" t="n">
        <v>13</v>
      </c>
      <c r="O57" s="1" t="n">
        <v>0.5765</v>
      </c>
      <c r="P57" s="1" t="n">
        <v>8</v>
      </c>
      <c r="Q57" s="1" t="n">
        <v>71.7</v>
      </c>
      <c r="R57" s="14" t="n">
        <v>33</v>
      </c>
      <c r="S57" s="14" t="n">
        <v>0</v>
      </c>
      <c r="T57" s="14" t="n">
        <v>47</v>
      </c>
      <c r="U57" s="1" t="n">
        <v>0</v>
      </c>
      <c r="V57" s="1" t="n">
        <v>37.2</v>
      </c>
      <c r="W57" s="1" t="n">
        <v>0</v>
      </c>
      <c r="X57" s="1" t="n">
        <v>1</v>
      </c>
      <c r="Y57" s="1" t="n">
        <v>0.767</v>
      </c>
    </row>
    <row r="58" customFormat="false" ht="12.75" hidden="false" customHeight="false" outlineLevel="0" collapsed="false">
      <c r="A58" s="1" t="s">
        <v>131</v>
      </c>
      <c r="B58" s="1" t="n">
        <v>0</v>
      </c>
      <c r="C58" s="1" t="n">
        <v>7.71</v>
      </c>
      <c r="D58" s="1" t="n">
        <v>112.4</v>
      </c>
      <c r="E58" s="1" t="n">
        <v>99.9</v>
      </c>
      <c r="F58" s="1" t="n">
        <f aca="false">D58-E58</f>
        <v>12.5</v>
      </c>
      <c r="G58" s="1" t="n">
        <v>6.1</v>
      </c>
      <c r="H58" s="25" t="n">
        <v>0.5679</v>
      </c>
      <c r="I58" s="5" t="n">
        <v>0.512</v>
      </c>
      <c r="J58" s="1" t="n">
        <v>14</v>
      </c>
      <c r="K58" s="3" t="n">
        <v>4</v>
      </c>
      <c r="L58" s="1" t="n">
        <v>1</v>
      </c>
      <c r="M58" s="30" t="n">
        <v>45.7</v>
      </c>
      <c r="N58" s="1" t="n">
        <v>8</v>
      </c>
      <c r="O58" s="1" t="n">
        <v>0.5765</v>
      </c>
      <c r="P58" s="1" t="n">
        <v>3</v>
      </c>
      <c r="Q58" s="1" t="n">
        <v>74.8</v>
      </c>
      <c r="R58" s="14" t="n">
        <v>32</v>
      </c>
      <c r="S58" s="14" t="n">
        <v>0</v>
      </c>
      <c r="T58" s="14" t="n">
        <v>47</v>
      </c>
      <c r="U58" s="1" t="n">
        <v>0</v>
      </c>
      <c r="V58" s="1" t="n">
        <v>39.5</v>
      </c>
      <c r="W58" s="1" t="n">
        <v>1</v>
      </c>
      <c r="X58" s="1" t="n">
        <v>2</v>
      </c>
      <c r="Y58" s="1" t="n">
        <v>0.636</v>
      </c>
    </row>
    <row r="59" customFormat="false" ht="12.75" hidden="false" customHeight="false" outlineLevel="0" collapsed="false">
      <c r="A59" s="1" t="s">
        <v>206</v>
      </c>
      <c r="B59" s="1" t="n">
        <v>1</v>
      </c>
      <c r="C59" s="1" t="n">
        <v>8.07</v>
      </c>
      <c r="D59" s="1" t="n">
        <v>113.7</v>
      </c>
      <c r="E59" s="1" t="n">
        <v>97.5</v>
      </c>
      <c r="F59" s="1" t="n">
        <f aca="false">D59-E59</f>
        <v>16.2</v>
      </c>
      <c r="G59" s="1" t="n">
        <v>8.5</v>
      </c>
      <c r="H59" s="37" t="n">
        <v>0.5933</v>
      </c>
      <c r="I59" s="5" t="n">
        <v>0.596</v>
      </c>
      <c r="J59" s="1" t="n">
        <v>12.3</v>
      </c>
      <c r="K59" s="3" t="n">
        <v>11</v>
      </c>
      <c r="L59" s="1" t="n">
        <v>1</v>
      </c>
      <c r="M59" s="30" t="n">
        <v>48.9</v>
      </c>
      <c r="N59" s="1" t="n">
        <v>3</v>
      </c>
      <c r="O59" s="1" t="n">
        <v>0.633</v>
      </c>
      <c r="P59" s="1" t="n">
        <v>9</v>
      </c>
      <c r="Q59" s="1" t="n">
        <v>69</v>
      </c>
      <c r="R59" s="14" t="n">
        <v>33</v>
      </c>
      <c r="S59" s="14" t="n">
        <v>0</v>
      </c>
      <c r="T59" s="14" t="n">
        <v>47</v>
      </c>
      <c r="U59" s="1" t="n">
        <v>0</v>
      </c>
      <c r="V59" s="1" t="n">
        <v>36.9</v>
      </c>
      <c r="W59" s="1" t="n">
        <v>1</v>
      </c>
      <c r="X59" s="1" t="n">
        <v>4</v>
      </c>
      <c r="Y59" s="1" t="n">
        <v>0.765</v>
      </c>
    </row>
    <row r="60" customFormat="false" ht="12.75" hidden="false" customHeight="false" outlineLevel="0" collapsed="false">
      <c r="A60" s="1" t="s">
        <v>133</v>
      </c>
      <c r="B60" s="1" t="n">
        <v>-1</v>
      </c>
      <c r="C60" s="1" t="n">
        <v>8.32</v>
      </c>
      <c r="D60" s="1" t="n">
        <v>112.9</v>
      </c>
      <c r="E60" s="1" t="n">
        <v>96.1</v>
      </c>
      <c r="F60" s="1" t="n">
        <f aca="false">D60-E60</f>
        <v>16.8</v>
      </c>
      <c r="G60" s="1" t="n">
        <v>9.4</v>
      </c>
      <c r="H60" s="25" t="n">
        <v>0.5644</v>
      </c>
      <c r="I60" s="5" t="n">
        <v>0.617</v>
      </c>
      <c r="J60" s="1" t="n">
        <v>11.7</v>
      </c>
      <c r="K60" s="3" t="n">
        <v>4</v>
      </c>
      <c r="L60" s="1" t="n">
        <v>1</v>
      </c>
      <c r="M60" s="30" t="n">
        <v>46.1</v>
      </c>
      <c r="N60" s="1" t="n">
        <v>11</v>
      </c>
      <c r="O60" s="1" t="n">
        <v>0.5682</v>
      </c>
      <c r="P60" s="1" t="n">
        <v>6</v>
      </c>
      <c r="Q60" s="1" t="n">
        <v>67.3</v>
      </c>
      <c r="R60" s="14" t="n">
        <v>34</v>
      </c>
      <c r="S60" s="14" t="n">
        <v>0</v>
      </c>
      <c r="T60" s="14" t="n">
        <v>13</v>
      </c>
      <c r="U60" s="1" t="n">
        <v>0</v>
      </c>
      <c r="V60" s="1" t="n">
        <v>38.6</v>
      </c>
      <c r="W60" s="1" t="n">
        <v>2</v>
      </c>
      <c r="X60" s="1" t="n">
        <v>9</v>
      </c>
      <c r="Y60" s="1" t="n">
        <v>0.594</v>
      </c>
    </row>
    <row r="61" customFormat="false" ht="12.75" hidden="false" customHeight="false" outlineLevel="0" collapsed="false">
      <c r="A61" s="1" t="s">
        <v>207</v>
      </c>
      <c r="B61" s="1" t="n">
        <v>1</v>
      </c>
      <c r="C61" s="1" t="n">
        <v>4.89</v>
      </c>
      <c r="D61" s="1" t="n">
        <v>108.8</v>
      </c>
      <c r="E61" s="1" t="n">
        <v>95</v>
      </c>
      <c r="F61" s="1" t="n">
        <f aca="false">D61-E61</f>
        <v>13.8</v>
      </c>
      <c r="G61" s="1" t="n">
        <v>9.9</v>
      </c>
      <c r="H61" s="25" t="n">
        <v>0.5524</v>
      </c>
      <c r="I61" s="5" t="n">
        <v>0.646</v>
      </c>
      <c r="J61" s="1" t="n">
        <v>11.4</v>
      </c>
      <c r="K61" s="3" t="n">
        <v>2</v>
      </c>
      <c r="L61" s="1" t="n">
        <v>0</v>
      </c>
      <c r="M61" s="30" t="n">
        <v>45</v>
      </c>
      <c r="N61" s="1" t="n">
        <v>10</v>
      </c>
      <c r="O61" s="1" t="n">
        <v>0.5844</v>
      </c>
      <c r="P61" s="1" t="n">
        <v>7</v>
      </c>
      <c r="Q61" s="1" t="n">
        <v>67.3</v>
      </c>
      <c r="R61" s="14" t="n">
        <v>32</v>
      </c>
      <c r="S61" s="14" t="n">
        <v>0</v>
      </c>
      <c r="T61" s="14" t="n">
        <v>47</v>
      </c>
      <c r="U61" s="1" t="n">
        <v>0</v>
      </c>
      <c r="V61" s="1" t="n">
        <v>37.4</v>
      </c>
      <c r="W61" s="1" t="n">
        <v>0</v>
      </c>
      <c r="X61" s="1" t="n">
        <v>1</v>
      </c>
      <c r="Y61" s="1" t="n">
        <v>0.706</v>
      </c>
    </row>
    <row r="62" customFormat="false" ht="12.75" hidden="false" customHeight="false" outlineLevel="0" collapsed="false">
      <c r="A62" s="1" t="s">
        <v>135</v>
      </c>
      <c r="B62" s="1" t="n">
        <v>6</v>
      </c>
      <c r="C62" s="1" t="n">
        <v>9.6</v>
      </c>
      <c r="D62" s="1" t="n">
        <v>107.2</v>
      </c>
      <c r="E62" s="1" t="n">
        <v>93</v>
      </c>
      <c r="F62" s="1" t="n">
        <f aca="false">D62-E62</f>
        <v>14.2</v>
      </c>
      <c r="G62" s="1" t="n">
        <v>13.3</v>
      </c>
      <c r="H62" s="25" t="n">
        <v>0.5854</v>
      </c>
      <c r="I62" s="5" t="n">
        <v>0.66</v>
      </c>
      <c r="J62" s="1" t="n">
        <v>11.1</v>
      </c>
      <c r="K62" s="3" t="n">
        <v>8</v>
      </c>
      <c r="L62" s="1" t="n">
        <v>0</v>
      </c>
      <c r="M62" s="30" t="n">
        <v>46.7</v>
      </c>
      <c r="N62" s="1" t="n">
        <v>2</v>
      </c>
      <c r="O62" s="1" t="n">
        <v>0.6455</v>
      </c>
      <c r="P62" s="1" t="n">
        <v>8</v>
      </c>
      <c r="Q62" s="1" t="n">
        <v>63.7</v>
      </c>
      <c r="R62" s="14" t="n">
        <v>34</v>
      </c>
      <c r="S62" s="14" t="n">
        <v>0</v>
      </c>
      <c r="T62" s="14" t="n">
        <v>47</v>
      </c>
      <c r="U62" s="1" t="n">
        <v>0</v>
      </c>
      <c r="V62" s="1" t="n">
        <v>35.6</v>
      </c>
      <c r="W62" s="1" t="n">
        <v>4</v>
      </c>
      <c r="X62" s="1" t="n">
        <v>13</v>
      </c>
      <c r="Y62" s="1" t="n">
        <v>0.853</v>
      </c>
    </row>
    <row r="63" customFormat="false" ht="12.75" hidden="false" customHeight="false" outlineLevel="0" collapsed="false">
      <c r="A63" s="1" t="s">
        <v>20</v>
      </c>
      <c r="B63" s="1" t="n">
        <v>3</v>
      </c>
      <c r="C63" s="1" t="n">
        <v>6.03</v>
      </c>
      <c r="D63" s="1" t="n">
        <v>118.3</v>
      </c>
      <c r="E63" s="1" t="n">
        <v>91.9</v>
      </c>
      <c r="F63" s="1" t="n">
        <f aca="false">D63-E63</f>
        <v>26.4</v>
      </c>
      <c r="G63" s="1" t="n">
        <v>10.7</v>
      </c>
      <c r="H63" s="29" t="n">
        <v>0.6005</v>
      </c>
      <c r="I63" s="5" t="n">
        <v>0.69</v>
      </c>
      <c r="J63" s="1" t="n">
        <v>9.4</v>
      </c>
      <c r="K63" s="3" t="n">
        <v>12</v>
      </c>
      <c r="L63" s="1" t="n">
        <v>1</v>
      </c>
      <c r="M63" s="30" t="n">
        <v>48.7</v>
      </c>
      <c r="N63" s="1" t="n">
        <v>1</v>
      </c>
      <c r="O63" s="1" t="n">
        <v>0.6532</v>
      </c>
      <c r="P63" s="1" t="n">
        <v>7</v>
      </c>
      <c r="Q63" s="1" t="n">
        <v>59.7</v>
      </c>
      <c r="R63" s="14" t="n">
        <v>34</v>
      </c>
      <c r="S63" s="14" t="n">
        <v>1</v>
      </c>
      <c r="T63" s="14" t="n">
        <v>6</v>
      </c>
      <c r="U63" s="1" t="n">
        <v>0</v>
      </c>
      <c r="V63" s="1" t="n">
        <v>31.9</v>
      </c>
      <c r="W63" s="1" t="n">
        <v>2</v>
      </c>
      <c r="X63" s="1" t="n">
        <v>6</v>
      </c>
      <c r="Y63" s="1" t="n">
        <v>0.788</v>
      </c>
    </row>
    <row r="64" customFormat="false" ht="12.75" hidden="false" customHeight="false" outlineLevel="0" collapsed="false">
      <c r="A64" s="1" t="s">
        <v>208</v>
      </c>
      <c r="B64" s="1" t="n">
        <v>0</v>
      </c>
      <c r="C64" s="1" t="n">
        <v>0.52</v>
      </c>
      <c r="D64" s="1" t="n">
        <v>102.6</v>
      </c>
      <c r="E64" s="1" t="n">
        <v>100</v>
      </c>
      <c r="F64" s="1" t="n">
        <f aca="false">D64-E64</f>
        <v>2.59999999999999</v>
      </c>
      <c r="G64" s="1" t="n">
        <v>9.9</v>
      </c>
      <c r="H64" s="25" t="n">
        <v>0.4532</v>
      </c>
      <c r="I64" s="5" t="n">
        <v>0.65</v>
      </c>
      <c r="J64" s="1" t="n">
        <v>13.3</v>
      </c>
      <c r="K64" s="3" t="n">
        <v>0</v>
      </c>
      <c r="L64" s="1" t="n">
        <v>0</v>
      </c>
      <c r="M64" s="30" t="n">
        <v>48.5</v>
      </c>
      <c r="N64" s="1" t="n">
        <v>15</v>
      </c>
      <c r="O64" s="1" t="n">
        <v>0.5341</v>
      </c>
      <c r="P64" s="1" t="n">
        <v>9</v>
      </c>
      <c r="Q64" s="1" t="n">
        <v>68.5</v>
      </c>
      <c r="R64" s="14" t="n">
        <v>33</v>
      </c>
      <c r="S64" s="14" t="n">
        <v>0</v>
      </c>
      <c r="T64" s="14" t="n">
        <v>4</v>
      </c>
      <c r="U64" s="1" t="n">
        <v>0</v>
      </c>
      <c r="V64" s="1" t="n">
        <v>36.8</v>
      </c>
      <c r="W64" s="1" t="n">
        <v>0</v>
      </c>
      <c r="X64" s="1" t="n">
        <v>3</v>
      </c>
      <c r="Y64" s="1" t="n">
        <v>0.742</v>
      </c>
    </row>
    <row r="65" customFormat="false" ht="12.75" hidden="false" customHeight="false" outlineLevel="0" collapsed="false">
      <c r="A65" s="1" t="s">
        <v>58</v>
      </c>
      <c r="B65" s="1" t="n">
        <v>0</v>
      </c>
      <c r="C65" s="1" t="n">
        <v>6.63</v>
      </c>
      <c r="D65" s="1" t="n">
        <v>114.8</v>
      </c>
      <c r="E65" s="1" t="n">
        <v>92.4</v>
      </c>
      <c r="F65" s="1" t="n">
        <f aca="false">D65-E65</f>
        <v>22.4</v>
      </c>
      <c r="G65" s="1" t="n">
        <v>12.6</v>
      </c>
      <c r="H65" s="25" t="n">
        <v>0.5859</v>
      </c>
      <c r="I65" s="5" t="n">
        <v>0.709</v>
      </c>
      <c r="J65" s="1" t="n">
        <v>14</v>
      </c>
      <c r="K65" s="3" t="n">
        <v>5</v>
      </c>
      <c r="L65" s="1" t="n">
        <v>1</v>
      </c>
      <c r="M65" s="30" t="n">
        <v>45.2</v>
      </c>
      <c r="N65" s="1" t="n">
        <v>3</v>
      </c>
      <c r="O65" s="1" t="n">
        <v>0.6257</v>
      </c>
      <c r="P65" s="1" t="n">
        <v>7</v>
      </c>
      <c r="Q65" s="1" t="n">
        <v>66.6</v>
      </c>
      <c r="R65" s="14" t="n">
        <v>34</v>
      </c>
      <c r="S65" s="14" t="n">
        <v>0</v>
      </c>
      <c r="T65" s="14" t="n">
        <v>47</v>
      </c>
      <c r="U65" s="1" t="n">
        <v>0</v>
      </c>
      <c r="V65" s="1" t="n">
        <v>39.2</v>
      </c>
      <c r="W65" s="1" t="n">
        <v>7</v>
      </c>
      <c r="X65" s="1" t="n">
        <v>22</v>
      </c>
      <c r="Y65" s="1" t="n">
        <v>0.765</v>
      </c>
    </row>
    <row r="66" customFormat="false" ht="12.75" hidden="false" customHeight="false" outlineLevel="0" collapsed="false">
      <c r="A66" s="1" t="s">
        <v>209</v>
      </c>
      <c r="B66" s="1" t="n">
        <v>0</v>
      </c>
      <c r="C66" s="1" t="n">
        <v>-0.02</v>
      </c>
      <c r="D66" s="1" t="n">
        <v>107.7</v>
      </c>
      <c r="E66" s="1" t="n">
        <v>103.2</v>
      </c>
      <c r="F66" s="1" t="n">
        <f aca="false">D66-E66</f>
        <v>4.5</v>
      </c>
      <c r="G66" s="1" t="n">
        <v>4.6</v>
      </c>
      <c r="H66" s="25" t="n">
        <v>0.4808</v>
      </c>
      <c r="I66" s="34" t="n">
        <v>0.657</v>
      </c>
      <c r="J66" s="1" t="n">
        <v>12.1</v>
      </c>
      <c r="K66" s="3" t="n">
        <v>0</v>
      </c>
      <c r="L66" s="1" t="n">
        <v>0</v>
      </c>
      <c r="M66" s="30" t="n">
        <v>44.8</v>
      </c>
      <c r="N66" s="1" t="n">
        <v>14</v>
      </c>
      <c r="O66" s="36" t="n">
        <v>0.528</v>
      </c>
      <c r="P66" s="1" t="n">
        <v>8</v>
      </c>
      <c r="Q66" s="1" t="n">
        <v>64.6</v>
      </c>
      <c r="R66" s="14" t="n">
        <v>34</v>
      </c>
      <c r="S66" s="14" t="n">
        <v>2</v>
      </c>
      <c r="T66" s="14" t="n">
        <v>8</v>
      </c>
      <c r="U66" s="1" t="n">
        <v>0</v>
      </c>
      <c r="V66" s="1" t="n">
        <v>38.6</v>
      </c>
      <c r="W66" s="1" t="n">
        <v>0</v>
      </c>
      <c r="X66" s="1" t="n">
        <v>1</v>
      </c>
      <c r="Y66" s="1" t="n">
        <v>0.657</v>
      </c>
    </row>
    <row r="67" customFormat="false" ht="12.75" hidden="false" customHeight="false" outlineLevel="0" collapsed="false">
      <c r="A67" s="1" t="s">
        <v>210</v>
      </c>
      <c r="B67" s="1" t="n">
        <v>1</v>
      </c>
      <c r="C67" s="1" t="n">
        <v>5.53</v>
      </c>
      <c r="D67" s="1" t="n">
        <v>108.9</v>
      </c>
      <c r="E67" s="1" t="n">
        <v>89.9</v>
      </c>
      <c r="F67" s="1" t="n">
        <f aca="false">D67-E67</f>
        <v>19</v>
      </c>
      <c r="G67" s="1" t="n">
        <v>14</v>
      </c>
      <c r="H67" s="25" t="n">
        <v>0.5252</v>
      </c>
      <c r="I67" s="5" t="n">
        <v>0.716</v>
      </c>
      <c r="J67" s="1" t="n">
        <v>9.9</v>
      </c>
      <c r="K67" s="3" t="n">
        <v>2</v>
      </c>
      <c r="L67" s="1" t="n">
        <v>0</v>
      </c>
      <c r="M67" s="30" t="n">
        <v>43.4</v>
      </c>
      <c r="N67" s="1" t="n">
        <v>11</v>
      </c>
      <c r="O67" s="1" t="n">
        <v>0.576</v>
      </c>
      <c r="P67" s="1" t="n">
        <v>7</v>
      </c>
      <c r="Q67" s="1" t="n">
        <v>59.4</v>
      </c>
      <c r="R67" s="14" t="n">
        <v>32</v>
      </c>
      <c r="S67" s="14" t="n">
        <v>1</v>
      </c>
      <c r="T67" s="14" t="n">
        <v>32</v>
      </c>
      <c r="U67" s="1" t="n">
        <v>0</v>
      </c>
      <c r="V67" s="1" t="n">
        <v>37.5</v>
      </c>
      <c r="W67" s="1" t="n">
        <v>2</v>
      </c>
      <c r="X67" s="1" t="n">
        <v>12</v>
      </c>
      <c r="Y67" s="1" t="n">
        <v>0.75</v>
      </c>
    </row>
    <row r="68" customFormat="false" ht="12.75" hidden="false" customHeight="false" outlineLevel="0" collapsed="false">
      <c r="A68" s="1" t="s">
        <v>138</v>
      </c>
      <c r="B68" s="1" t="n">
        <v>2</v>
      </c>
      <c r="C68" s="1" t="n">
        <v>8.2</v>
      </c>
      <c r="D68" s="1" t="n">
        <v>110</v>
      </c>
      <c r="E68" s="1" t="n">
        <v>95.3</v>
      </c>
      <c r="F68" s="1" t="n">
        <f aca="false">D68-E68</f>
        <v>14.7</v>
      </c>
      <c r="G68" s="1" t="n">
        <v>4.3</v>
      </c>
      <c r="H68" s="25" t="n">
        <v>0.5814</v>
      </c>
      <c r="I68" s="5" t="n">
        <v>0.65</v>
      </c>
      <c r="J68" s="1" t="n">
        <v>11</v>
      </c>
      <c r="K68" s="3" t="n">
        <v>9</v>
      </c>
      <c r="L68" s="1" t="n">
        <v>1</v>
      </c>
      <c r="M68" s="43" t="n">
        <v>43</v>
      </c>
      <c r="N68" s="1" t="n">
        <v>7</v>
      </c>
      <c r="O68" s="1" t="n">
        <v>0.5817</v>
      </c>
      <c r="P68" s="1" t="n">
        <v>7</v>
      </c>
      <c r="Q68" s="1" t="n">
        <v>64.6</v>
      </c>
      <c r="R68" s="14" t="n">
        <v>32</v>
      </c>
      <c r="S68" s="14" t="n">
        <v>2</v>
      </c>
      <c r="T68" s="14" t="n">
        <v>32</v>
      </c>
      <c r="U68" s="1" t="n">
        <v>0</v>
      </c>
      <c r="V68" s="1" t="n">
        <v>34.9</v>
      </c>
      <c r="W68" s="1" t="n">
        <v>0</v>
      </c>
      <c r="X68" s="1" t="n">
        <v>15</v>
      </c>
      <c r="Y68" s="1" t="n">
        <v>0.625</v>
      </c>
    </row>
    <row r="69" customFormat="false" ht="12.75" hidden="false" customHeight="false" outlineLevel="0" collapsed="false">
      <c r="A69" s="1" t="s">
        <v>36</v>
      </c>
      <c r="B69" s="1" t="n">
        <v>1</v>
      </c>
      <c r="C69" s="1" t="n">
        <v>5.19</v>
      </c>
      <c r="D69" s="1" t="n">
        <v>115.8</v>
      </c>
      <c r="E69" s="1" t="n">
        <v>96.2</v>
      </c>
      <c r="F69" s="1" t="n">
        <f aca="false">D69-E69</f>
        <v>19.6</v>
      </c>
      <c r="G69" s="1" t="n">
        <v>10.3</v>
      </c>
      <c r="H69" s="25" t="n">
        <v>0.5682</v>
      </c>
      <c r="I69" s="5" t="n">
        <v>0.679</v>
      </c>
      <c r="J69" s="1" t="n">
        <v>12.8</v>
      </c>
      <c r="K69" s="3" t="n">
        <v>10</v>
      </c>
      <c r="L69" s="1" t="n">
        <v>0</v>
      </c>
      <c r="M69" s="43" t="n">
        <v>45.2</v>
      </c>
      <c r="N69" s="1" t="n">
        <v>2</v>
      </c>
      <c r="O69" s="1" t="n">
        <v>0.6341</v>
      </c>
      <c r="P69" s="1" t="n">
        <v>7</v>
      </c>
      <c r="Q69" s="1" t="n">
        <v>71</v>
      </c>
      <c r="R69" s="14" t="n">
        <v>32</v>
      </c>
      <c r="S69" s="14" t="n">
        <v>0</v>
      </c>
      <c r="T69" s="14" t="n">
        <v>9</v>
      </c>
      <c r="U69" s="1" t="n">
        <v>0</v>
      </c>
      <c r="V69" s="1" t="n">
        <v>40.9</v>
      </c>
      <c r="W69" s="1" t="n">
        <v>3</v>
      </c>
      <c r="X69" s="1" t="n">
        <v>6</v>
      </c>
      <c r="Y69" s="1" t="n">
        <v>0.844</v>
      </c>
    </row>
    <row r="70" customFormat="false" ht="12.75" hidden="false" customHeight="false" outlineLevel="0" collapsed="false">
      <c r="A70" s="1" t="s">
        <v>211</v>
      </c>
      <c r="B70" s="1" t="n">
        <v>1</v>
      </c>
      <c r="C70" s="1" t="n">
        <v>-6.93</v>
      </c>
      <c r="D70" s="1" t="n">
        <v>108</v>
      </c>
      <c r="E70" s="1" t="n">
        <v>95</v>
      </c>
      <c r="F70" s="1" t="n">
        <f aca="false">D70-E70</f>
        <v>13</v>
      </c>
      <c r="G70" s="1" t="n">
        <v>12</v>
      </c>
      <c r="H70" s="37" t="n">
        <v>0.4948</v>
      </c>
      <c r="I70" s="5" t="n">
        <v>0.515</v>
      </c>
      <c r="J70" s="1" t="n">
        <v>13.4</v>
      </c>
      <c r="K70" s="3" t="n">
        <v>0</v>
      </c>
      <c r="L70" s="1" t="n">
        <v>0</v>
      </c>
      <c r="M70" s="30" t="n">
        <v>47.1</v>
      </c>
      <c r="N70" s="1" t="n">
        <v>12</v>
      </c>
      <c r="O70" s="1" t="n">
        <v>0.5792</v>
      </c>
      <c r="P70" s="1" t="n">
        <v>9</v>
      </c>
      <c r="Q70" s="1" t="n">
        <v>63.5</v>
      </c>
      <c r="R70" s="14" t="n">
        <v>28</v>
      </c>
      <c r="S70" s="14" t="n">
        <v>0</v>
      </c>
      <c r="T70" s="14" t="n">
        <v>37</v>
      </c>
      <c r="U70" s="1" t="n">
        <v>0</v>
      </c>
      <c r="V70" s="1" t="n">
        <v>40.3</v>
      </c>
      <c r="W70" s="1" t="n">
        <v>0</v>
      </c>
      <c r="X70" s="1" t="n">
        <v>1</v>
      </c>
      <c r="Y70" s="1" t="n">
        <v>0.786</v>
      </c>
    </row>
    <row r="71" customFormat="false" ht="12.75" hidden="false" customHeight="false" outlineLevel="0" collapsed="false">
      <c r="B71" s="0" t="n">
        <f aca="false">SUM(B3:B70)</f>
        <v>58</v>
      </c>
      <c r="H71" s="25"/>
      <c r="K71" s="3"/>
      <c r="M71" s="30"/>
      <c r="U71" s="1"/>
    </row>
    <row r="72" customFormat="false" ht="12.75" hidden="false" customHeight="false" outlineLevel="0" collapsed="false">
      <c r="H72" s="25"/>
      <c r="K72" s="3"/>
      <c r="M72" s="30"/>
      <c r="U72" s="1"/>
    </row>
    <row r="73" customFormat="false" ht="12.75" hidden="false" customHeight="false" outlineLevel="0" collapsed="false">
      <c r="H73" s="25"/>
      <c r="K73" s="44" t="s">
        <v>212</v>
      </c>
      <c r="M73" s="30"/>
    </row>
    <row r="74" customFormat="false" ht="12.75" hidden="false" customHeight="false" outlineLevel="0" collapsed="false">
      <c r="B74" s="0" t="n">
        <f aca="false">SUM(B3:B70)</f>
        <v>58</v>
      </c>
      <c r="H74" s="25"/>
      <c r="K74" s="3"/>
      <c r="M74" s="30"/>
    </row>
    <row r="75" customFormat="false" ht="12.75" hidden="false" customHeight="false" outlineLevel="0" collapsed="false">
      <c r="B75" s="0" t="n">
        <f aca="false">COUNTIF(B3:B70, "=0")</f>
        <v>33</v>
      </c>
      <c r="H75" s="25"/>
      <c r="K75" s="3"/>
      <c r="M75" s="30"/>
    </row>
    <row r="76" customFormat="false" ht="12.75" hidden="false" customHeight="false" outlineLevel="0" collapsed="false">
      <c r="B76" s="0" t="n">
        <f aca="false">COUNTIF(B3:B70,"-1")</f>
        <v>4</v>
      </c>
      <c r="H76" s="25"/>
      <c r="K76" s="3"/>
      <c r="M76" s="30"/>
    </row>
    <row r="77" customFormat="false" ht="12.75" hidden="false" customHeight="false" outlineLevel="0" collapsed="false">
      <c r="B77" s="0" t="n">
        <f aca="false">COUNTIF(B3:B70, "=0")</f>
        <v>33</v>
      </c>
      <c r="H77" s="25"/>
      <c r="K77" s="3"/>
      <c r="M77" s="30"/>
    </row>
    <row r="1048576" customFormat="false" ht="12.75" hidden="false" customHeight="true" outlineLevel="0" collapsed="false"/>
  </sheetData>
  <autoFilter ref="A2:P71"/>
  <hyperlinks>
    <hyperlink ref="C2" r:id="rId1" display="http://www.sports-reference.com/cbb/schools/"/>
    <hyperlink ref="D2" r:id="rId2" display="kenpom.com"/>
    <hyperlink ref="E2" r:id="rId3" display="kenpom.com"/>
    <hyperlink ref="G2" r:id="rId4" display="http://www.ncaa.com/stats/basketball-men/d1/current/team/147/p4"/>
    <hyperlink ref="H2" r:id="rId5" display="http://www.cbssports.com/collegebasketball/bracketology/sos"/>
    <hyperlink ref="I2" r:id="rId6" display="http://www.sports-reference.com/cbb/seasons/2016-coaches.html"/>
    <hyperlink ref="J2" r:id="rId7" display="http://www.ncaa.com/stats/basketball-men/d1/current/team/217"/>
    <hyperlink ref="L2" r:id="rId8" display="http://espn.go.com/mens-college-basketball/teams"/>
    <hyperlink ref="M2" r:id="rId9" display="http://www.sports-reference.com/cbb/seasons/2016-school-stats.html"/>
    <hyperlink ref="N2" r:id="rId10" display="http://i.turner.ncaa.com/sites/default/files/external/printable-bracket/2016/bracket-ncaa.pdf"/>
    <hyperlink ref="O2" r:id="rId11" display="http://espn.go.com/mens-college-basketball/rpi/_/sort/RPI"/>
    <hyperlink ref="P2" r:id="rId12" display="https://www.teamrankings.com/ncaa-basketball/ranking/last-10-games-by-other"/>
    <hyperlink ref="Q2" r:id="rId13" display="https://www.teamrankings.com/ncaa-basketball/stat/opponent-points-per-game"/>
    <hyperlink ref="R2" r:id="rId14" display="http://espn.go.com/mens-college-basketball/statistics/team/_/stat/scoring-per-game/sort/gamesPlayed"/>
    <hyperlink ref="S2" r:id="rId15" display="http://www.sports-reference.com/cbb/seasons/2016-coaches.html"/>
    <hyperlink ref="T2" r:id="rId16" display="http://warrennolan.com/basketball/2016/polls/week/"/>
    <hyperlink ref="K73" r:id="rId17" display="http://fivethirtyeight.com/features/how-fivethirtyeight-is-forecasting-the-2016-ncaa-tournament/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8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RowHeight="12.75" zeroHeight="false" outlineLevelRow="0" outlineLevelCol="0"/>
  <cols>
    <col collapsed="false" customWidth="true" hidden="false" outlineLevel="0" max="1" min="1" style="0" width="18.86"/>
    <col collapsed="false" customWidth="true" hidden="false" outlineLevel="0" max="2" min="2" style="0" width="13.7"/>
    <col collapsed="false" customWidth="true" hidden="false" outlineLevel="0" max="3" min="3" style="0" width="14.57"/>
    <col collapsed="false" customWidth="true" hidden="false" outlineLevel="0" max="30" min="4" style="0" width="17.29"/>
    <col collapsed="false" customWidth="true" hidden="false" outlineLevel="0" max="31" min="31" style="0" width="16.29"/>
    <col collapsed="false" customWidth="true" hidden="false" outlineLevel="0" max="1025" min="32" style="0" width="14.43"/>
  </cols>
  <sheetData>
    <row r="1" customFormat="false" ht="73.5" hidden="false" customHeight="true" outlineLevel="0" collapsed="false">
      <c r="A1" s="45"/>
      <c r="B1" s="45" t="s">
        <v>213</v>
      </c>
      <c r="C1" s="46" t="s">
        <v>214</v>
      </c>
      <c r="D1" s="45" t="s">
        <v>140</v>
      </c>
      <c r="E1" s="45" t="s">
        <v>148</v>
      </c>
      <c r="F1" s="45" t="s">
        <v>215</v>
      </c>
      <c r="G1" s="45" t="s">
        <v>216</v>
      </c>
      <c r="H1" s="45" t="s">
        <v>217</v>
      </c>
      <c r="I1" s="45" t="s">
        <v>218</v>
      </c>
      <c r="J1" s="45" t="s">
        <v>219</v>
      </c>
      <c r="K1" s="45" t="s">
        <v>146</v>
      </c>
      <c r="L1" s="45" t="s">
        <v>220</v>
      </c>
      <c r="M1" s="45" t="s">
        <v>221</v>
      </c>
      <c r="N1" s="45" t="s">
        <v>222</v>
      </c>
      <c r="O1" s="45" t="s">
        <v>223</v>
      </c>
      <c r="P1" s="45" t="s">
        <v>224</v>
      </c>
      <c r="Q1" s="45" t="s">
        <v>225</v>
      </c>
      <c r="R1" s="45" t="s">
        <v>226</v>
      </c>
      <c r="S1" s="45" t="s">
        <v>227</v>
      </c>
      <c r="T1" s="47" t="s">
        <v>228</v>
      </c>
      <c r="U1" s="47" t="s">
        <v>229</v>
      </c>
      <c r="V1" s="47" t="s">
        <v>230</v>
      </c>
      <c r="W1" s="47" t="s">
        <v>231</v>
      </c>
      <c r="X1" s="47" t="s">
        <v>232</v>
      </c>
      <c r="Y1" s="47" t="s">
        <v>233</v>
      </c>
      <c r="Z1" s="47" t="s">
        <v>154</v>
      </c>
      <c r="AA1" s="47" t="s">
        <v>234</v>
      </c>
      <c r="AB1" s="47" t="s">
        <v>235</v>
      </c>
      <c r="AC1" s="47" t="s">
        <v>236</v>
      </c>
      <c r="AD1" s="47" t="s">
        <v>237</v>
      </c>
      <c r="AE1" s="47" t="s">
        <v>238</v>
      </c>
    </row>
    <row r="2" customFormat="false" ht="12.75" hidden="false" customHeight="false" outlineLevel="0" collapsed="false">
      <c r="A2" s="48" t="s">
        <v>239</v>
      </c>
      <c r="B2" s="1" t="n">
        <v>0</v>
      </c>
      <c r="C2" s="48" t="n">
        <v>2.5</v>
      </c>
      <c r="D2" s="48" t="n">
        <v>-0.44</v>
      </c>
      <c r="E2" s="48" t="n">
        <v>0</v>
      </c>
      <c r="F2" s="48" t="n">
        <v>0</v>
      </c>
      <c r="G2" s="48" t="n">
        <v>0.44</v>
      </c>
      <c r="H2" s="48" t="n">
        <v>0.636</v>
      </c>
      <c r="I2" s="48" t="n">
        <v>9</v>
      </c>
      <c r="J2" s="48" t="n">
        <v>60.2</v>
      </c>
      <c r="K2" s="48" t="n">
        <v>11.7</v>
      </c>
      <c r="L2" s="48" t="n">
        <v>0.564</v>
      </c>
      <c r="M2" s="48" t="n">
        <v>0</v>
      </c>
      <c r="N2" s="48" t="n">
        <v>1.6</v>
      </c>
      <c r="O2" s="48" t="n">
        <v>65.5</v>
      </c>
      <c r="P2" s="48" t="n">
        <v>10.4</v>
      </c>
      <c r="Q2" s="48" t="n">
        <v>0.4572</v>
      </c>
      <c r="R2" s="48" t="n">
        <v>515</v>
      </c>
      <c r="S2" s="48" t="n">
        <v>0.761</v>
      </c>
      <c r="T2" s="1" t="n">
        <v>0.75</v>
      </c>
      <c r="U2" s="1" t="n">
        <v>5.3</v>
      </c>
      <c r="V2" s="1" t="n">
        <v>0.282</v>
      </c>
      <c r="W2" s="1" t="n">
        <v>0</v>
      </c>
      <c r="X2" s="1" t="n">
        <v>33.6</v>
      </c>
      <c r="Y2" s="1" t="n">
        <v>2096</v>
      </c>
      <c r="Z2" s="1" t="n">
        <v>32</v>
      </c>
      <c r="AA2" s="1" t="n">
        <v>0</v>
      </c>
      <c r="AB2" s="1" t="n">
        <v>4</v>
      </c>
      <c r="AC2" s="1" t="n">
        <v>0</v>
      </c>
      <c r="AD2" s="1" t="n">
        <v>17</v>
      </c>
      <c r="AE2" s="1" t="n">
        <v>8.3</v>
      </c>
    </row>
    <row r="3" customFormat="false" ht="12.75" hidden="false" customHeight="false" outlineLevel="0" collapsed="false">
      <c r="A3" s="48" t="s">
        <v>26</v>
      </c>
      <c r="B3" s="1" t="n">
        <v>3</v>
      </c>
      <c r="C3" s="48" t="n">
        <v>29.6</v>
      </c>
      <c r="D3" s="48" t="n">
        <v>24.8</v>
      </c>
      <c r="E3" s="48" t="n">
        <v>1</v>
      </c>
      <c r="F3" s="48" t="n">
        <v>1</v>
      </c>
      <c r="G3" s="48" t="n">
        <v>0.489</v>
      </c>
      <c r="H3" s="48" t="n">
        <v>0.571</v>
      </c>
      <c r="I3" s="48" t="n">
        <v>10</v>
      </c>
      <c r="J3" s="48" t="n">
        <v>58.6</v>
      </c>
      <c r="K3" s="48" t="n">
        <v>11.2</v>
      </c>
      <c r="L3" s="48" t="n">
        <v>0.741</v>
      </c>
      <c r="M3" s="48" t="n">
        <v>9</v>
      </c>
      <c r="N3" s="48" t="n">
        <v>3.6</v>
      </c>
      <c r="O3" s="48" t="n">
        <v>76.4</v>
      </c>
      <c r="P3" s="48" t="n">
        <v>14.2</v>
      </c>
      <c r="Q3" s="48" t="n">
        <v>0.5713</v>
      </c>
      <c r="R3" s="48" t="n">
        <v>1002</v>
      </c>
      <c r="S3" s="48" t="n">
        <v>0.699</v>
      </c>
      <c r="T3" s="1" t="n">
        <v>0.912</v>
      </c>
      <c r="U3" s="1" t="n">
        <v>17.8</v>
      </c>
      <c r="V3" s="1" t="n">
        <v>0.199</v>
      </c>
      <c r="W3" s="1" t="n">
        <v>1</v>
      </c>
      <c r="X3" s="1" t="n">
        <v>37.3</v>
      </c>
      <c r="Y3" s="1" t="n">
        <v>2599</v>
      </c>
      <c r="Z3" s="1" t="n">
        <v>34</v>
      </c>
      <c r="AA3" s="1" t="n">
        <v>0</v>
      </c>
      <c r="AB3" s="1" t="n">
        <v>7</v>
      </c>
      <c r="AC3" s="1" t="n">
        <v>5</v>
      </c>
      <c r="AD3" s="1" t="n">
        <v>16</v>
      </c>
      <c r="AE3" s="1" t="n">
        <v>9.8</v>
      </c>
    </row>
    <row r="4" customFormat="false" ht="12.75" hidden="false" customHeight="false" outlineLevel="0" collapsed="false">
      <c r="A4" s="48" t="s">
        <v>67</v>
      </c>
      <c r="B4" s="1" t="n">
        <v>1</v>
      </c>
      <c r="C4" s="48" t="n">
        <v>15.3</v>
      </c>
      <c r="D4" s="48" t="n">
        <v>14.75</v>
      </c>
      <c r="E4" s="48" t="n">
        <v>1</v>
      </c>
      <c r="F4" s="48" t="n">
        <v>0</v>
      </c>
      <c r="G4" s="48" t="n">
        <v>0.447</v>
      </c>
      <c r="H4" s="48" t="n">
        <v>0.636</v>
      </c>
      <c r="I4" s="48" t="n">
        <v>7</v>
      </c>
      <c r="J4" s="48" t="n">
        <v>70.1</v>
      </c>
      <c r="K4" s="48" t="n">
        <v>11.7</v>
      </c>
      <c r="L4" s="48" t="n">
        <v>0.554</v>
      </c>
      <c r="M4" s="48" t="n">
        <v>5</v>
      </c>
      <c r="N4" s="48" t="n">
        <v>4.8</v>
      </c>
      <c r="O4" s="48" t="n">
        <v>78</v>
      </c>
      <c r="P4" s="48" t="n">
        <v>16.1</v>
      </c>
      <c r="Q4" s="48" t="n">
        <v>0.5617</v>
      </c>
      <c r="R4" s="48" t="n">
        <v>680</v>
      </c>
      <c r="S4" s="48" t="n">
        <v>0.724</v>
      </c>
      <c r="T4" s="1" t="n">
        <v>0.765</v>
      </c>
      <c r="U4" s="1" t="n">
        <v>7.9</v>
      </c>
      <c r="V4" s="1" t="n">
        <v>0.257</v>
      </c>
      <c r="W4" s="1" t="n">
        <v>0</v>
      </c>
      <c r="X4" s="1" t="n">
        <v>35.9</v>
      </c>
      <c r="Y4" s="1" t="n">
        <v>2653</v>
      </c>
      <c r="Z4" s="1" t="n">
        <v>34</v>
      </c>
      <c r="AA4" s="1" t="n">
        <v>0</v>
      </c>
      <c r="AB4" s="1" t="n">
        <v>6</v>
      </c>
      <c r="AC4" s="1" t="n">
        <v>2</v>
      </c>
      <c r="AD4" s="1" t="n">
        <v>17</v>
      </c>
      <c r="AE4" s="1" t="n">
        <v>11.5</v>
      </c>
    </row>
    <row r="5" customFormat="false" ht="12.75" hidden="false" customHeight="false" outlineLevel="0" collapsed="false">
      <c r="A5" s="48" t="s">
        <v>102</v>
      </c>
      <c r="B5" s="1" t="n">
        <v>0</v>
      </c>
      <c r="C5" s="48" t="n">
        <v>20.3</v>
      </c>
      <c r="D5" s="48" t="n">
        <v>19</v>
      </c>
      <c r="E5" s="48" t="n">
        <v>1</v>
      </c>
      <c r="F5" s="48" t="n">
        <v>0</v>
      </c>
      <c r="G5" s="48" t="n">
        <v>0.434</v>
      </c>
      <c r="H5" s="48" t="n">
        <v>0.667</v>
      </c>
      <c r="I5" s="48" t="n">
        <v>6</v>
      </c>
      <c r="J5" s="48" t="n">
        <v>60.3</v>
      </c>
      <c r="K5" s="48" t="n">
        <v>12.5</v>
      </c>
      <c r="L5" s="48" t="n">
        <v>0.594</v>
      </c>
      <c r="M5" s="48" t="n">
        <v>9</v>
      </c>
      <c r="N5" s="48" t="n">
        <v>3.8</v>
      </c>
      <c r="O5" s="48" t="n">
        <v>69.5</v>
      </c>
      <c r="P5" s="48" t="n">
        <v>14.6</v>
      </c>
      <c r="Q5" s="48" t="n">
        <v>0.6022</v>
      </c>
      <c r="R5" s="48" t="n">
        <v>922</v>
      </c>
      <c r="S5" s="48" t="n">
        <v>0.667</v>
      </c>
      <c r="T5" s="1" t="n">
        <v>0.719</v>
      </c>
      <c r="U5" s="1" t="n">
        <v>8.8</v>
      </c>
      <c r="V5" s="1" t="n">
        <v>0.3</v>
      </c>
      <c r="W5" s="1" t="n">
        <v>0</v>
      </c>
      <c r="X5" s="1" t="n">
        <v>38.9</v>
      </c>
      <c r="Y5" s="1" t="n">
        <v>2293</v>
      </c>
      <c r="Z5" s="1" t="n">
        <v>33</v>
      </c>
      <c r="AA5" s="1" t="n">
        <v>0</v>
      </c>
      <c r="AB5" s="1" t="n">
        <v>4</v>
      </c>
      <c r="AC5" s="1" t="n">
        <v>3</v>
      </c>
      <c r="AD5" s="1" t="n">
        <v>18</v>
      </c>
      <c r="AE5" s="1" t="n">
        <v>13</v>
      </c>
    </row>
    <row r="6" customFormat="false" ht="12.75" hidden="false" customHeight="false" outlineLevel="0" collapsed="false">
      <c r="A6" s="48" t="s">
        <v>240</v>
      </c>
      <c r="B6" s="1" t="n">
        <v>0</v>
      </c>
      <c r="C6" s="48" t="n">
        <v>1.4</v>
      </c>
      <c r="D6" s="48" t="n">
        <v>-0.07</v>
      </c>
      <c r="E6" s="48" t="n">
        <v>0</v>
      </c>
      <c r="F6" s="48" t="n">
        <v>0</v>
      </c>
      <c r="G6" s="48" t="n">
        <v>0.476</v>
      </c>
      <c r="H6" s="48" t="n">
        <v>0.733</v>
      </c>
      <c r="I6" s="48" t="n">
        <v>7</v>
      </c>
      <c r="J6" s="48" t="n">
        <v>70.3</v>
      </c>
      <c r="K6" s="48" t="n">
        <v>13.7</v>
      </c>
      <c r="L6" s="48" t="n">
        <v>0.639</v>
      </c>
      <c r="M6" s="48" t="n">
        <v>0</v>
      </c>
      <c r="N6" s="48" t="n">
        <v>2</v>
      </c>
      <c r="O6" s="48" t="n">
        <v>74.5</v>
      </c>
      <c r="P6" s="48" t="n">
        <v>15.4</v>
      </c>
      <c r="Q6" s="48" t="n">
        <v>0.4703</v>
      </c>
      <c r="R6" s="48" t="n">
        <v>340</v>
      </c>
      <c r="S6" s="48" t="n">
        <v>0.69</v>
      </c>
      <c r="T6" s="1" t="n">
        <v>0.677</v>
      </c>
      <c r="U6" s="1" t="n">
        <v>3.6</v>
      </c>
      <c r="V6" s="1" t="n">
        <v>0.404</v>
      </c>
      <c r="W6" s="1" t="n">
        <v>0</v>
      </c>
      <c r="X6" s="1" t="n">
        <v>33.3</v>
      </c>
      <c r="Y6" s="1" t="n">
        <v>2383</v>
      </c>
      <c r="Z6" s="1" t="n">
        <v>32</v>
      </c>
      <c r="AA6" s="1" t="n">
        <v>0</v>
      </c>
      <c r="AB6" s="1" t="n">
        <v>6</v>
      </c>
      <c r="AC6" s="1" t="n">
        <v>0</v>
      </c>
      <c r="AD6" s="1" t="n">
        <v>14</v>
      </c>
      <c r="AE6" s="1" t="n">
        <v>7.7</v>
      </c>
    </row>
    <row r="7" customFormat="false" ht="14.25" hidden="false" customHeight="true" outlineLevel="0" collapsed="false">
      <c r="A7" s="48" t="s">
        <v>241</v>
      </c>
      <c r="B7" s="1" t="n">
        <v>0</v>
      </c>
      <c r="C7" s="48" t="n">
        <v>12.9</v>
      </c>
      <c r="D7" s="48" t="n">
        <v>10.34</v>
      </c>
      <c r="E7" s="48" t="n">
        <v>0</v>
      </c>
      <c r="F7" s="48" t="n">
        <v>0</v>
      </c>
      <c r="G7" s="48" t="n">
        <v>0.458</v>
      </c>
      <c r="H7" s="48" t="n">
        <v>0.625</v>
      </c>
      <c r="I7" s="48" t="n">
        <v>8</v>
      </c>
      <c r="J7" s="48" t="n">
        <v>60.3</v>
      </c>
      <c r="K7" s="48" t="n">
        <v>10.3</v>
      </c>
      <c r="L7" s="1" t="n">
        <v>0.622</v>
      </c>
      <c r="M7" s="48" t="n">
        <v>2</v>
      </c>
      <c r="N7" s="48" t="n">
        <v>2.4</v>
      </c>
      <c r="O7" s="48" t="n">
        <v>70.8</v>
      </c>
      <c r="P7" s="48" t="n">
        <v>12.1</v>
      </c>
      <c r="Q7" s="48" t="n">
        <v>0.5154</v>
      </c>
      <c r="R7" s="48" t="n">
        <v>1718</v>
      </c>
      <c r="S7" s="48" t="n">
        <v>0.728</v>
      </c>
      <c r="T7" s="1" t="n">
        <v>0.742</v>
      </c>
      <c r="U7" s="1" t="n">
        <v>8.9</v>
      </c>
      <c r="V7" s="1" t="n">
        <v>0.374</v>
      </c>
      <c r="W7" s="1" t="n">
        <v>0</v>
      </c>
      <c r="X7" s="1" t="n">
        <v>32.5</v>
      </c>
      <c r="Y7" s="1" t="n">
        <v>2335</v>
      </c>
      <c r="Z7" s="1" t="n">
        <v>33</v>
      </c>
      <c r="AA7" s="1" t="n">
        <v>0</v>
      </c>
      <c r="AB7" s="1" t="n">
        <v>0</v>
      </c>
      <c r="AC7" s="1" t="n">
        <v>1</v>
      </c>
      <c r="AD7" s="1" t="n">
        <v>19</v>
      </c>
      <c r="AE7" s="1" t="n">
        <v>7.2</v>
      </c>
    </row>
    <row r="8" customFormat="false" ht="12.75" hidden="false" customHeight="false" outlineLevel="0" collapsed="false">
      <c r="A8" s="48" t="s">
        <v>27</v>
      </c>
      <c r="B8" s="1" t="n">
        <v>0</v>
      </c>
      <c r="C8" s="48" t="n">
        <v>11.3</v>
      </c>
      <c r="D8" s="48" t="n">
        <v>8.41</v>
      </c>
      <c r="E8" s="48" t="n">
        <v>0</v>
      </c>
      <c r="F8" s="48" t="n">
        <v>0</v>
      </c>
      <c r="G8" s="48" t="n">
        <v>0.435</v>
      </c>
      <c r="H8" s="48" t="n">
        <v>0.556</v>
      </c>
      <c r="I8" s="48" t="n">
        <v>8</v>
      </c>
      <c r="J8" s="48" t="n">
        <v>68.3</v>
      </c>
      <c r="K8" s="48" t="n">
        <v>11.3</v>
      </c>
      <c r="L8" s="48" t="n">
        <v>0.689</v>
      </c>
      <c r="M8" s="48" t="n">
        <v>1</v>
      </c>
      <c r="N8" s="48" t="n">
        <v>4</v>
      </c>
      <c r="O8" s="48" t="n">
        <v>75</v>
      </c>
      <c r="P8" s="48" t="n">
        <v>13.2</v>
      </c>
      <c r="Q8" s="48" t="n">
        <v>0.5412</v>
      </c>
      <c r="R8" s="48" t="n">
        <v>294</v>
      </c>
      <c r="S8" s="48" t="n">
        <v>0.722</v>
      </c>
      <c r="T8" s="1" t="n">
        <v>0.719</v>
      </c>
      <c r="U8" s="1" t="n">
        <v>6.7</v>
      </c>
      <c r="V8" s="1" t="n">
        <v>0.241</v>
      </c>
      <c r="W8" s="1" t="n">
        <v>0</v>
      </c>
      <c r="X8" s="1" t="n">
        <v>38.4</v>
      </c>
      <c r="Y8" s="1" t="n">
        <v>2400</v>
      </c>
      <c r="Z8" s="1" t="n">
        <v>32</v>
      </c>
      <c r="AA8" s="1" t="n">
        <v>0</v>
      </c>
      <c r="AB8" s="1" t="n">
        <v>2</v>
      </c>
      <c r="AC8" s="1" t="n">
        <v>0</v>
      </c>
      <c r="AD8" s="1" t="n">
        <v>17</v>
      </c>
      <c r="AE8" s="1" t="n">
        <v>10.8</v>
      </c>
    </row>
    <row r="9" customFormat="false" ht="12.75" hidden="false" customHeight="false" outlineLevel="0" collapsed="false">
      <c r="A9" s="48" t="s">
        <v>68</v>
      </c>
      <c r="B9" s="1" t="n">
        <v>1</v>
      </c>
      <c r="C9" s="48" t="n">
        <v>15.8</v>
      </c>
      <c r="D9" s="48" t="n">
        <v>16.7</v>
      </c>
      <c r="E9" s="48" t="n">
        <v>1</v>
      </c>
      <c r="F9" s="48" t="n">
        <v>0</v>
      </c>
      <c r="G9" s="48" t="n">
        <v>0.439</v>
      </c>
      <c r="H9" s="48" t="n">
        <v>0.667</v>
      </c>
      <c r="I9" s="48" t="n">
        <v>6</v>
      </c>
      <c r="J9" s="48" t="n">
        <v>61.2</v>
      </c>
      <c r="K9" s="48" t="n">
        <v>11.4</v>
      </c>
      <c r="L9" s="48" t="n">
        <v>0.452</v>
      </c>
      <c r="M9" s="48" t="n">
        <v>7</v>
      </c>
      <c r="N9" s="48" t="n">
        <v>2.9</v>
      </c>
      <c r="O9" s="48" t="n">
        <v>69.6</v>
      </c>
      <c r="P9" s="48" t="n">
        <v>11.5</v>
      </c>
      <c r="Q9" s="48" t="n">
        <v>0.5672</v>
      </c>
      <c r="R9" s="48" t="n">
        <v>329</v>
      </c>
      <c r="S9" s="48" t="n">
        <v>0.68</v>
      </c>
      <c r="T9" s="1" t="n">
        <v>0.688</v>
      </c>
      <c r="U9" s="1" t="n">
        <v>8.4</v>
      </c>
      <c r="V9" s="1" t="n">
        <v>0.248</v>
      </c>
      <c r="W9" s="1" t="n">
        <v>0</v>
      </c>
      <c r="X9" s="1" t="n">
        <v>36.8</v>
      </c>
      <c r="Y9" s="1" t="n">
        <v>2226</v>
      </c>
      <c r="Z9" s="1" t="n">
        <v>32</v>
      </c>
      <c r="AA9" s="1" t="n">
        <v>0</v>
      </c>
      <c r="AB9" s="1" t="n">
        <v>0</v>
      </c>
      <c r="AC9" s="1" t="n">
        <v>0</v>
      </c>
      <c r="AD9" s="1" t="n">
        <v>17</v>
      </c>
      <c r="AE9" s="1" t="n">
        <v>9.8</v>
      </c>
    </row>
    <row r="10" customFormat="false" ht="12.75" hidden="false" customHeight="false" outlineLevel="0" collapsed="false">
      <c r="A10" s="48" t="s">
        <v>242</v>
      </c>
      <c r="B10" s="1" t="n">
        <v>0</v>
      </c>
      <c r="C10" s="48" t="n">
        <v>15.6</v>
      </c>
      <c r="D10" s="48" t="n">
        <v>14.29</v>
      </c>
      <c r="E10" s="48" t="n">
        <v>1</v>
      </c>
      <c r="F10" s="48" t="n">
        <v>0</v>
      </c>
      <c r="G10" s="48" t="n">
        <v>0.467</v>
      </c>
      <c r="H10" s="48" t="n">
        <v>0.5</v>
      </c>
      <c r="I10" s="48" t="n">
        <v>8</v>
      </c>
      <c r="J10" s="48" t="n">
        <v>72.6</v>
      </c>
      <c r="K10" s="48" t="n">
        <v>11.8</v>
      </c>
      <c r="L10" s="48" t="n">
        <v>0.748</v>
      </c>
      <c r="M10" s="48" t="n">
        <v>1</v>
      </c>
      <c r="N10" s="48" t="n">
        <v>2.9</v>
      </c>
      <c r="O10" s="48" t="n">
        <v>83.8</v>
      </c>
      <c r="P10" s="48" t="n">
        <v>16.8</v>
      </c>
      <c r="Q10" s="48" t="n">
        <v>0.5451</v>
      </c>
      <c r="R10" s="48" t="n">
        <v>1816</v>
      </c>
      <c r="S10" s="48" t="n">
        <v>0.77</v>
      </c>
      <c r="T10" s="1" t="n">
        <v>0.719</v>
      </c>
      <c r="U10" s="1" t="n">
        <v>8.9</v>
      </c>
      <c r="V10" s="1" t="n">
        <v>0.301</v>
      </c>
      <c r="W10" s="1" t="n">
        <v>0</v>
      </c>
      <c r="X10" s="1" t="n">
        <v>38.7</v>
      </c>
      <c r="Y10" s="1" t="n">
        <v>2841</v>
      </c>
      <c r="Z10" s="1" t="n">
        <v>34</v>
      </c>
      <c r="AA10" s="1" t="n">
        <v>0</v>
      </c>
      <c r="AB10" s="1" t="n">
        <v>7</v>
      </c>
      <c r="AC10" s="1" t="n">
        <v>1</v>
      </c>
      <c r="AD10" s="1" t="n">
        <v>22</v>
      </c>
      <c r="AE10" s="1" t="n">
        <v>10</v>
      </c>
    </row>
    <row r="11" customFormat="false" ht="12.75" hidden="false" customHeight="false" outlineLevel="0" collapsed="false">
      <c r="A11" s="48" t="s">
        <v>34</v>
      </c>
      <c r="B11" s="1" t="n">
        <v>1</v>
      </c>
      <c r="C11" s="48" t="n">
        <v>13.4</v>
      </c>
      <c r="D11" s="48" t="n">
        <v>10.64</v>
      </c>
      <c r="E11" s="48" t="n">
        <v>1</v>
      </c>
      <c r="F11" s="48" t="n">
        <v>0</v>
      </c>
      <c r="G11" s="48" t="n">
        <v>0.453</v>
      </c>
      <c r="H11" s="48" t="n">
        <v>0.286</v>
      </c>
      <c r="I11" s="48" t="n">
        <v>6</v>
      </c>
      <c r="J11" s="48" t="n">
        <v>55.3</v>
      </c>
      <c r="K11" s="48" t="n">
        <v>12.8</v>
      </c>
      <c r="L11" s="48" t="n">
        <v>0.612</v>
      </c>
      <c r="M11" s="48" t="n">
        <v>4</v>
      </c>
      <c r="N11" s="48" t="n">
        <v>5.4</v>
      </c>
      <c r="O11" s="48" t="n">
        <v>62.4</v>
      </c>
      <c r="P11" s="48" t="n">
        <v>11.9</v>
      </c>
      <c r="Q11" s="48" t="n">
        <v>0.5516</v>
      </c>
      <c r="R11" s="48" t="n">
        <v>89</v>
      </c>
      <c r="S11" s="48" t="n">
        <v>0.674</v>
      </c>
      <c r="T11" s="1" t="n">
        <v>0.688</v>
      </c>
      <c r="U11" s="1" t="n">
        <v>5.8</v>
      </c>
      <c r="V11" s="1" t="n">
        <v>0.242</v>
      </c>
      <c r="W11" s="1" t="n">
        <v>0</v>
      </c>
      <c r="X11" s="1" t="n">
        <v>34.2</v>
      </c>
      <c r="Y11" s="1" t="n">
        <v>1996</v>
      </c>
      <c r="Z11" s="1" t="n">
        <v>32</v>
      </c>
      <c r="AA11" s="1" t="n">
        <v>0</v>
      </c>
      <c r="AB11" s="1" t="n">
        <v>6</v>
      </c>
      <c r="AC11" s="1" t="n">
        <v>1</v>
      </c>
      <c r="AD11" s="1" t="n">
        <v>14</v>
      </c>
      <c r="AE11" s="1" t="n">
        <v>9.7</v>
      </c>
    </row>
    <row r="12" customFormat="false" ht="12.75" hidden="false" customHeight="false" outlineLevel="0" collapsed="false">
      <c r="A12" s="48" t="s">
        <v>243</v>
      </c>
      <c r="B12" s="1" t="n">
        <v>0</v>
      </c>
      <c r="C12" s="48" t="n">
        <v>1.3</v>
      </c>
      <c r="D12" s="48" t="n">
        <v>-1.46</v>
      </c>
      <c r="E12" s="48" t="n">
        <v>0</v>
      </c>
      <c r="F12" s="48" t="n">
        <v>0</v>
      </c>
      <c r="G12" s="48" t="n">
        <v>0.439</v>
      </c>
      <c r="H12" s="48" t="n">
        <v>0.667</v>
      </c>
      <c r="I12" s="48" t="n">
        <v>8</v>
      </c>
      <c r="J12" s="48" t="n">
        <v>61.7</v>
      </c>
      <c r="K12" s="48" t="n">
        <v>11.9</v>
      </c>
      <c r="L12" s="48" t="n">
        <v>0.615</v>
      </c>
      <c r="M12" s="48" t="n">
        <v>0</v>
      </c>
      <c r="N12" s="48" t="n">
        <v>3.3</v>
      </c>
      <c r="O12" s="48" t="n">
        <v>71.7</v>
      </c>
      <c r="P12" s="48" t="n">
        <v>11.4</v>
      </c>
      <c r="Q12" s="48" t="n">
        <v>0.4488</v>
      </c>
      <c r="R12" s="48" t="n">
        <v>1059</v>
      </c>
      <c r="S12" s="48" t="n">
        <v>0.703</v>
      </c>
      <c r="T12" s="1" t="n">
        <v>0.69</v>
      </c>
      <c r="U12" s="1" t="n">
        <v>10.1</v>
      </c>
      <c r="V12" s="1" t="n">
        <v>0.28</v>
      </c>
      <c r="W12" s="1" t="n">
        <v>0</v>
      </c>
      <c r="X12" s="1" t="n">
        <v>37.6</v>
      </c>
      <c r="Y12" s="1" t="n">
        <v>2477</v>
      </c>
      <c r="Z12" s="1" t="n">
        <v>33</v>
      </c>
      <c r="AA12" s="1" t="n">
        <v>0</v>
      </c>
      <c r="AB12" s="1" t="n">
        <v>9</v>
      </c>
      <c r="AC12" s="1" t="n">
        <v>3</v>
      </c>
      <c r="AD12" s="1" t="n">
        <v>18</v>
      </c>
      <c r="AE12" s="1" t="n">
        <v>10.3</v>
      </c>
    </row>
    <row r="13" customFormat="false" ht="12.75" hidden="false" customHeight="false" outlineLevel="0" collapsed="false">
      <c r="A13" s="48" t="s">
        <v>244</v>
      </c>
      <c r="B13" s="1" t="n">
        <v>0</v>
      </c>
      <c r="C13" s="48" t="n">
        <v>15.4</v>
      </c>
      <c r="D13" s="48" t="n">
        <v>13.14</v>
      </c>
      <c r="E13" s="48" t="n">
        <v>0</v>
      </c>
      <c r="F13" s="48" t="n">
        <v>0</v>
      </c>
      <c r="G13" s="48" t="n">
        <v>0.471</v>
      </c>
      <c r="H13" s="48" t="n">
        <v>0.6</v>
      </c>
      <c r="I13" s="48" t="n">
        <v>9</v>
      </c>
      <c r="J13" s="48" t="n">
        <v>69</v>
      </c>
      <c r="K13" s="48" t="n">
        <v>9.6</v>
      </c>
      <c r="L13" s="48" t="n">
        <v>0.625</v>
      </c>
      <c r="M13" s="48" t="n">
        <v>2</v>
      </c>
      <c r="N13" s="48" t="n">
        <v>2.9</v>
      </c>
      <c r="O13" s="48" t="n">
        <v>79.9</v>
      </c>
      <c r="P13" s="48" t="n">
        <v>17.2</v>
      </c>
      <c r="Q13" s="48" t="n">
        <v>0.5237</v>
      </c>
      <c r="R13" s="48" t="n">
        <v>2272</v>
      </c>
      <c r="S13" s="48" t="n">
        <v>0.702</v>
      </c>
      <c r="T13" s="1" t="n">
        <v>0.767</v>
      </c>
      <c r="U13" s="1" t="n">
        <v>10.1</v>
      </c>
      <c r="V13" s="1" t="n">
        <v>0.408</v>
      </c>
      <c r="W13" s="1" t="n">
        <v>0</v>
      </c>
      <c r="X13" s="1" t="n">
        <v>35.7</v>
      </c>
      <c r="Y13" s="1" t="n">
        <v>2447</v>
      </c>
      <c r="Z13" s="1" t="n">
        <v>31</v>
      </c>
      <c r="AA13" s="1" t="n">
        <v>0</v>
      </c>
      <c r="AB13" s="1" t="n">
        <v>7</v>
      </c>
      <c r="AC13" s="1" t="n">
        <v>1</v>
      </c>
      <c r="AD13" s="1" t="n">
        <v>16</v>
      </c>
      <c r="AE13" s="1" t="n">
        <v>8.8</v>
      </c>
    </row>
    <row r="14" customFormat="false" ht="12.75" hidden="false" customHeight="false" outlineLevel="0" collapsed="false">
      <c r="A14" s="48" t="s">
        <v>103</v>
      </c>
      <c r="B14" s="1" t="n">
        <v>1</v>
      </c>
      <c r="C14" s="48" t="n">
        <v>12.4</v>
      </c>
      <c r="D14" s="48" t="n">
        <v>10.82</v>
      </c>
      <c r="E14" s="48" t="n">
        <v>0</v>
      </c>
      <c r="F14" s="48" t="n">
        <v>0</v>
      </c>
      <c r="G14" s="48" t="n">
        <v>0.463</v>
      </c>
      <c r="H14" s="48" t="n">
        <v>0.75</v>
      </c>
      <c r="I14" s="48" t="n">
        <v>7</v>
      </c>
      <c r="J14" s="48" t="n">
        <v>60.9</v>
      </c>
      <c r="K14" s="48" t="n">
        <v>11.5</v>
      </c>
      <c r="L14" s="48" t="n">
        <v>0.657</v>
      </c>
      <c r="M14" s="48" t="n">
        <v>2</v>
      </c>
      <c r="N14" s="48" t="n">
        <v>2.5</v>
      </c>
      <c r="O14" s="48" t="n">
        <v>68.2</v>
      </c>
      <c r="P14" s="48" t="n">
        <v>13.8</v>
      </c>
      <c r="Q14" s="48" t="n">
        <v>0.5273</v>
      </c>
      <c r="R14" s="48" t="n">
        <v>65</v>
      </c>
      <c r="S14" s="48" t="n">
        <v>0.683</v>
      </c>
      <c r="T14" s="1" t="n">
        <v>0.758</v>
      </c>
      <c r="U14" s="1" t="n">
        <v>7.3</v>
      </c>
      <c r="V14" s="1" t="n">
        <v>0.284</v>
      </c>
      <c r="W14" s="1" t="n">
        <v>0</v>
      </c>
      <c r="X14" s="1" t="n">
        <v>31.6</v>
      </c>
      <c r="Y14" s="1" t="n">
        <v>2251</v>
      </c>
      <c r="Z14" s="1" t="n">
        <v>33</v>
      </c>
      <c r="AA14" s="1" t="n">
        <v>0</v>
      </c>
      <c r="AB14" s="1" t="n">
        <v>7</v>
      </c>
      <c r="AC14" s="1" t="n">
        <v>1</v>
      </c>
      <c r="AD14" s="1" t="n">
        <v>16</v>
      </c>
      <c r="AE14" s="1" t="n">
        <v>5.9</v>
      </c>
    </row>
    <row r="15" customFormat="false" ht="12.75" hidden="false" customHeight="false" outlineLevel="0" collapsed="false">
      <c r="A15" s="48" t="s">
        <v>86</v>
      </c>
      <c r="B15" s="1" t="n">
        <v>6</v>
      </c>
      <c r="C15" s="48" t="n">
        <v>25.9</v>
      </c>
      <c r="D15" s="48" t="n">
        <v>24.14</v>
      </c>
      <c r="E15" s="48" t="n">
        <v>1</v>
      </c>
      <c r="F15" s="48" t="n">
        <v>0</v>
      </c>
      <c r="G15" s="48" t="n">
        <v>0.502</v>
      </c>
      <c r="H15" s="48" t="n">
        <v>0.75</v>
      </c>
      <c r="I15" s="48" t="n">
        <v>9</v>
      </c>
      <c r="J15" s="48" t="n">
        <v>65.6</v>
      </c>
      <c r="K15" s="48" t="n">
        <v>11.2</v>
      </c>
      <c r="L15" s="48" t="n">
        <v>0.765</v>
      </c>
      <c r="M15" s="48" t="n">
        <v>9</v>
      </c>
      <c r="N15" s="48" t="n">
        <v>3.8</v>
      </c>
      <c r="O15" s="48" t="n">
        <v>80.6</v>
      </c>
      <c r="P15" s="48" t="n">
        <v>15.5</v>
      </c>
      <c r="Q15" s="48" t="n">
        <v>0.5881</v>
      </c>
      <c r="R15" s="48" t="n">
        <v>122</v>
      </c>
      <c r="S15" s="48" t="n">
        <v>0.691</v>
      </c>
      <c r="T15" s="1" t="n">
        <v>0.879</v>
      </c>
      <c r="U15" s="1" t="n">
        <v>15</v>
      </c>
      <c r="V15" s="1" t="n">
        <v>0.282</v>
      </c>
      <c r="W15" s="1" t="n">
        <v>1</v>
      </c>
      <c r="X15" s="1" t="n">
        <v>37.2</v>
      </c>
      <c r="Y15" s="1" t="n">
        <v>2660</v>
      </c>
      <c r="Z15" s="1" t="n">
        <v>33</v>
      </c>
      <c r="AA15" s="1" t="n">
        <v>11</v>
      </c>
      <c r="AB15" s="1" t="n">
        <v>30</v>
      </c>
      <c r="AC15" s="1" t="n">
        <v>21</v>
      </c>
      <c r="AD15" s="1" t="n">
        <v>12</v>
      </c>
      <c r="AE15" s="1" t="n">
        <v>10.9</v>
      </c>
    </row>
    <row r="16" customFormat="false" ht="12.75" hidden="false" customHeight="false" outlineLevel="0" collapsed="false">
      <c r="A16" s="48" t="s">
        <v>245</v>
      </c>
      <c r="B16" s="1" t="n">
        <v>0</v>
      </c>
      <c r="C16" s="48" t="n">
        <v>2.3</v>
      </c>
      <c r="D16" s="48" t="n">
        <v>0.61</v>
      </c>
      <c r="E16" s="48" t="n">
        <v>0</v>
      </c>
      <c r="F16" s="48" t="n">
        <v>0</v>
      </c>
      <c r="G16" s="48" t="n">
        <v>0.48</v>
      </c>
      <c r="H16" s="48" t="n">
        <v>0.667</v>
      </c>
      <c r="I16" s="48" t="n">
        <v>7</v>
      </c>
      <c r="J16" s="48" t="n">
        <v>73.6</v>
      </c>
      <c r="K16" s="48" t="n">
        <v>10.8</v>
      </c>
      <c r="L16" s="48" t="n">
        <v>0.685</v>
      </c>
      <c r="M16" s="48" t="n">
        <v>2</v>
      </c>
      <c r="N16" s="48" t="n">
        <v>4.6</v>
      </c>
      <c r="O16" s="48" t="n">
        <v>80.8</v>
      </c>
      <c r="P16" s="48" t="n">
        <v>13.2</v>
      </c>
      <c r="Q16" s="48" t="n">
        <v>0.4792</v>
      </c>
      <c r="R16" s="48" t="n">
        <v>278</v>
      </c>
      <c r="S16" s="48" t="n">
        <v>0.714</v>
      </c>
      <c r="T16" s="1" t="n">
        <v>0.742</v>
      </c>
      <c r="U16" s="1" t="n">
        <v>5.1</v>
      </c>
      <c r="V16" s="1" t="n">
        <v>0.366</v>
      </c>
      <c r="W16" s="1" t="n">
        <v>0</v>
      </c>
      <c r="X16" s="1" t="n">
        <v>33.9</v>
      </c>
      <c r="Y16" s="1" t="n">
        <v>2746</v>
      </c>
      <c r="Z16" s="1" t="n">
        <v>34</v>
      </c>
      <c r="AA16" s="1" t="n">
        <v>0</v>
      </c>
      <c r="AB16" s="1" t="n">
        <v>0</v>
      </c>
      <c r="AC16" s="1" t="n">
        <v>0</v>
      </c>
      <c r="AD16" s="1" t="n">
        <v>16</v>
      </c>
      <c r="AE16" s="1" t="n">
        <v>8.6</v>
      </c>
    </row>
    <row r="17" customFormat="false" ht="12.75" hidden="false" customHeight="false" outlineLevel="0" collapsed="false">
      <c r="A17" s="48" t="s">
        <v>246</v>
      </c>
      <c r="B17" s="1" t="n">
        <v>1</v>
      </c>
      <c r="C17" s="48" t="n">
        <v>16.6</v>
      </c>
      <c r="D17" s="48" t="n">
        <v>16.06</v>
      </c>
      <c r="E17" s="48" t="n">
        <v>1</v>
      </c>
      <c r="F17" s="48" t="n">
        <v>0</v>
      </c>
      <c r="G17" s="48" t="n">
        <v>0.455</v>
      </c>
      <c r="H17" s="48" t="n">
        <v>0.545</v>
      </c>
      <c r="I17" s="48" t="n">
        <v>6</v>
      </c>
      <c r="J17" s="48" t="n">
        <v>64.6</v>
      </c>
      <c r="K17" s="48" t="n">
        <v>12.6</v>
      </c>
      <c r="L17" s="48" t="n">
        <v>0.685</v>
      </c>
      <c r="M17" s="48" t="n">
        <v>6</v>
      </c>
      <c r="N17" s="48" t="n">
        <v>4</v>
      </c>
      <c r="O17" s="48" t="n">
        <v>70.7</v>
      </c>
      <c r="P17" s="48" t="n">
        <v>13.2</v>
      </c>
      <c r="Q17" s="48" t="n">
        <v>0.5883</v>
      </c>
      <c r="R17" s="48" t="n">
        <v>2350</v>
      </c>
      <c r="S17" s="48" t="n">
        <v>0.702</v>
      </c>
      <c r="T17" s="1" t="n">
        <v>0.677</v>
      </c>
      <c r="U17" s="1" t="n">
        <v>6.1</v>
      </c>
      <c r="V17" s="1" t="n">
        <v>0.248</v>
      </c>
      <c r="W17" s="1" t="n">
        <v>0</v>
      </c>
      <c r="X17" s="1" t="n">
        <v>35.2</v>
      </c>
      <c r="Y17" s="1" t="n">
        <v>2192</v>
      </c>
      <c r="Z17" s="1" t="n">
        <v>31</v>
      </c>
      <c r="AA17" s="1" t="n">
        <v>1</v>
      </c>
      <c r="AB17" s="1" t="n">
        <v>9</v>
      </c>
      <c r="AC17" s="1" t="n">
        <v>2</v>
      </c>
      <c r="AD17" s="1" t="n">
        <v>17</v>
      </c>
      <c r="AE17" s="1" t="n">
        <v>9.9</v>
      </c>
    </row>
    <row r="18" customFormat="false" ht="12.75" hidden="false" customHeight="false" outlineLevel="0" collapsed="false">
      <c r="A18" s="48" t="s">
        <v>247</v>
      </c>
      <c r="B18" s="1" t="n">
        <v>0</v>
      </c>
      <c r="C18" s="48" t="n">
        <v>13.1</v>
      </c>
      <c r="D18" s="48"/>
      <c r="E18" s="48" t="n">
        <v>1</v>
      </c>
      <c r="F18" s="48" t="n">
        <v>0</v>
      </c>
      <c r="G18" s="1" t="n">
        <v>0.435</v>
      </c>
      <c r="H18" s="48" t="n">
        <v>0.636</v>
      </c>
      <c r="I18" s="48" t="n">
        <v>6</v>
      </c>
      <c r="J18" s="48" t="n">
        <v>64.2</v>
      </c>
      <c r="K18" s="48" t="n">
        <v>12.8</v>
      </c>
      <c r="L18" s="48" t="n">
        <v>0.639</v>
      </c>
      <c r="M18" s="48" t="n">
        <v>2</v>
      </c>
      <c r="N18" s="48" t="n">
        <v>4.7</v>
      </c>
      <c r="O18" s="48" t="n">
        <v>68</v>
      </c>
      <c r="P18" s="48" t="n">
        <v>12.6</v>
      </c>
      <c r="Q18" s="48" t="n">
        <v>0.5632</v>
      </c>
      <c r="R18" s="48" t="n">
        <v>170</v>
      </c>
      <c r="S18" s="48" t="n">
        <v>0.689</v>
      </c>
      <c r="T18" s="1" t="n">
        <v>0.656</v>
      </c>
      <c r="U18" s="1" t="n">
        <v>4.2</v>
      </c>
      <c r="V18" s="1" t="n">
        <v>0.247</v>
      </c>
      <c r="W18" s="1" t="n">
        <v>0</v>
      </c>
      <c r="X18" s="1" t="n">
        <v>38</v>
      </c>
      <c r="Y18" s="1" t="n">
        <v>2187</v>
      </c>
      <c r="Z18" s="1" t="n">
        <v>32</v>
      </c>
      <c r="AA18" s="1" t="n">
        <v>0</v>
      </c>
      <c r="AB18" s="1" t="n">
        <v>4</v>
      </c>
      <c r="AC18" s="1" t="n">
        <v>0</v>
      </c>
      <c r="AD18" s="1" t="n">
        <v>18</v>
      </c>
      <c r="AE18" s="1" t="n">
        <v>9.4</v>
      </c>
    </row>
    <row r="19" customFormat="false" ht="12.75" hidden="false" customHeight="false" outlineLevel="0" collapsed="false">
      <c r="A19" s="48" t="s">
        <v>248</v>
      </c>
      <c r="B19" s="1" t="n">
        <v>1</v>
      </c>
      <c r="C19" s="48" t="n">
        <v>9.2</v>
      </c>
      <c r="D19" s="48" t="n">
        <v>4.96</v>
      </c>
      <c r="E19" s="48" t="n">
        <v>0</v>
      </c>
      <c r="F19" s="48" t="n">
        <v>0</v>
      </c>
      <c r="G19" s="48" t="n">
        <v>0.48</v>
      </c>
      <c r="H19" s="48" t="n">
        <v>0.5</v>
      </c>
      <c r="I19" s="48" t="n">
        <v>9</v>
      </c>
      <c r="J19" s="48" t="n">
        <v>62.2</v>
      </c>
      <c r="K19" s="48" t="n">
        <v>10.7</v>
      </c>
      <c r="L19" s="48" t="n">
        <v>0.575</v>
      </c>
      <c r="M19" s="48" t="n">
        <v>0</v>
      </c>
      <c r="N19" s="48" t="n">
        <v>4.2</v>
      </c>
      <c r="O19" s="48" t="n">
        <v>72</v>
      </c>
      <c r="P19" s="48" t="n">
        <v>13.2</v>
      </c>
      <c r="Q19" s="48" t="n">
        <v>0.4998</v>
      </c>
      <c r="R19" s="48" t="n">
        <v>286</v>
      </c>
      <c r="S19" s="48" t="n">
        <v>0.734</v>
      </c>
      <c r="T19" s="1" t="n">
        <v>0.719</v>
      </c>
      <c r="U19" s="1" t="n">
        <v>8.2</v>
      </c>
      <c r="V19" s="1" t="n">
        <v>0.206</v>
      </c>
      <c r="W19" s="1" t="n">
        <v>0</v>
      </c>
      <c r="X19" s="1" t="n">
        <v>32.6</v>
      </c>
      <c r="Y19" s="1" t="n">
        <v>2375</v>
      </c>
      <c r="Z19" s="1" t="n">
        <v>33</v>
      </c>
      <c r="AA19" s="1" t="n">
        <v>0</v>
      </c>
      <c r="AB19" s="1" t="n">
        <v>1</v>
      </c>
      <c r="AC19" s="1" t="n">
        <v>0</v>
      </c>
      <c r="AD19" s="1" t="n">
        <v>19</v>
      </c>
      <c r="AE19" s="1" t="n">
        <v>8.1</v>
      </c>
    </row>
    <row r="20" customFormat="false" ht="12.75" hidden="false" customHeight="false" outlineLevel="0" collapsed="false">
      <c r="A20" s="48" t="s">
        <v>43</v>
      </c>
      <c r="B20" s="1" t="n">
        <v>3</v>
      </c>
      <c r="C20" s="48" t="n">
        <v>26</v>
      </c>
      <c r="D20" s="48" t="n">
        <v>21.9</v>
      </c>
      <c r="E20" s="48" t="n">
        <v>0</v>
      </c>
      <c r="F20" s="48" t="n">
        <v>0</v>
      </c>
      <c r="G20" s="48" t="n">
        <v>0.524</v>
      </c>
      <c r="H20" s="48" t="n">
        <v>0.333</v>
      </c>
      <c r="I20" s="48" t="n">
        <v>9</v>
      </c>
      <c r="J20" s="48" t="n">
        <v>60.9</v>
      </c>
      <c r="K20" s="48" t="n">
        <v>10.6</v>
      </c>
      <c r="L20" s="48" t="n">
        <v>0.81</v>
      </c>
      <c r="M20" s="48" t="n">
        <v>7</v>
      </c>
      <c r="N20" s="48" t="n">
        <v>3.4</v>
      </c>
      <c r="O20" s="48" t="n">
        <v>79.1</v>
      </c>
      <c r="P20" s="48" t="n">
        <v>16.2</v>
      </c>
      <c r="Q20" s="48" t="n">
        <v>0.5452</v>
      </c>
      <c r="R20" s="48" t="n">
        <v>229</v>
      </c>
      <c r="S20" s="48" t="n">
        <v>0.689</v>
      </c>
      <c r="T20" s="1" t="n">
        <v>0.939</v>
      </c>
      <c r="U20" s="1" t="n">
        <v>17.1</v>
      </c>
      <c r="V20" s="1" t="n">
        <v>0.27</v>
      </c>
      <c r="W20" s="1" t="n">
        <v>1</v>
      </c>
      <c r="X20" s="1" t="n">
        <v>37.7</v>
      </c>
      <c r="Y20" s="1" t="n">
        <v>2690</v>
      </c>
      <c r="Z20" s="1" t="n">
        <v>34</v>
      </c>
      <c r="AA20" s="1" t="n">
        <v>0</v>
      </c>
      <c r="AB20" s="1" t="n">
        <v>15</v>
      </c>
      <c r="AC20" s="1" t="n">
        <v>4</v>
      </c>
      <c r="AD20" s="1" t="n">
        <v>18</v>
      </c>
      <c r="AE20" s="1" t="n">
        <v>8.6</v>
      </c>
    </row>
    <row r="21" customFormat="false" ht="12.75" hidden="false" customHeight="false" outlineLevel="0" collapsed="false">
      <c r="A21" s="48" t="s">
        <v>187</v>
      </c>
      <c r="B21" s="1" t="n">
        <v>0</v>
      </c>
      <c r="C21" s="48" t="n">
        <v>-6.7</v>
      </c>
      <c r="D21" s="48" t="n">
        <v>-9.07</v>
      </c>
      <c r="E21" s="48" t="n">
        <v>0</v>
      </c>
      <c r="F21" s="48" t="n">
        <v>0</v>
      </c>
      <c r="G21" s="48" t="n">
        <v>0.408</v>
      </c>
      <c r="H21" s="48" t="n">
        <v>0.545</v>
      </c>
      <c r="I21" s="48" t="n">
        <v>7</v>
      </c>
      <c r="J21" s="48" t="n">
        <v>68</v>
      </c>
      <c r="K21" s="48" t="n">
        <v>14.2</v>
      </c>
      <c r="L21" s="48" t="n">
        <v>0.508</v>
      </c>
      <c r="M21" s="48" t="n">
        <v>0</v>
      </c>
      <c r="N21" s="48" t="n">
        <v>4.1</v>
      </c>
      <c r="O21" s="48" t="n">
        <v>67.2</v>
      </c>
      <c r="P21" s="48" t="n">
        <v>10.6</v>
      </c>
      <c r="Q21" s="48" t="n">
        <v>0.4346</v>
      </c>
      <c r="R21" s="48" t="n">
        <v>522</v>
      </c>
      <c r="S21" s="48" t="n">
        <v>0.652</v>
      </c>
      <c r="T21" s="1" t="n">
        <v>0.485</v>
      </c>
      <c r="U21" s="1" t="n">
        <v>-0.8</v>
      </c>
      <c r="V21" s="1" t="n">
        <v>0.253</v>
      </c>
      <c r="W21" s="1" t="n">
        <v>0</v>
      </c>
      <c r="X21" s="1" t="n">
        <v>37.1</v>
      </c>
      <c r="Y21" s="1" t="n">
        <v>2216</v>
      </c>
      <c r="Z21" s="1" t="n">
        <v>33</v>
      </c>
      <c r="AA21" s="1" t="n">
        <v>0</v>
      </c>
      <c r="AB21" s="1" t="n">
        <v>1</v>
      </c>
      <c r="AC21" s="1" t="n">
        <v>0</v>
      </c>
      <c r="AD21" s="1" t="n">
        <v>16</v>
      </c>
      <c r="AE21" s="1" t="n">
        <v>10.5</v>
      </c>
    </row>
    <row r="22" customFormat="false" ht="12.75" hidden="false" customHeight="false" outlineLevel="0" collapsed="false">
      <c r="A22" s="48" t="s">
        <v>249</v>
      </c>
      <c r="B22" s="1" t="n">
        <v>0</v>
      </c>
      <c r="C22" s="48" t="n">
        <v>7.5</v>
      </c>
      <c r="D22" s="48" t="n">
        <v>4.21</v>
      </c>
      <c r="E22" s="48" t="n">
        <v>0</v>
      </c>
      <c r="F22" s="48" t="n">
        <v>0</v>
      </c>
      <c r="G22" s="48" t="n">
        <v>0.435</v>
      </c>
      <c r="H22" s="48" t="n">
        <v>0.857</v>
      </c>
      <c r="I22" s="48" t="n">
        <v>8</v>
      </c>
      <c r="J22" s="48" t="n">
        <v>57.2</v>
      </c>
      <c r="K22" s="48" t="n">
        <v>11.8</v>
      </c>
      <c r="L22" s="48" t="n">
        <v>0.609</v>
      </c>
      <c r="M22" s="48" t="n">
        <v>1</v>
      </c>
      <c r="N22" s="48" t="n">
        <v>4.6</v>
      </c>
      <c r="O22" s="48" t="n">
        <v>64.2</v>
      </c>
      <c r="P22" s="48" t="n">
        <v>12.5</v>
      </c>
      <c r="Q22" s="48" t="n">
        <v>0.5064</v>
      </c>
      <c r="R22" s="48" t="n">
        <v>1017</v>
      </c>
      <c r="S22" s="48" t="n">
        <v>0.715</v>
      </c>
      <c r="T22" s="1" t="n">
        <v>0.741</v>
      </c>
      <c r="U22" s="1" t="n">
        <v>5</v>
      </c>
      <c r="V22" s="1" t="n">
        <v>0.227</v>
      </c>
      <c r="W22" s="1" t="n">
        <v>1</v>
      </c>
      <c r="X22" s="1" t="n">
        <v>34.1</v>
      </c>
      <c r="Y22" s="1" t="n">
        <v>1861</v>
      </c>
      <c r="Z22" s="1" t="n">
        <v>29</v>
      </c>
      <c r="AA22" s="1" t="n">
        <v>0</v>
      </c>
      <c r="AB22" s="1" t="n">
        <v>4</v>
      </c>
      <c r="AC22" s="1" t="n">
        <v>1</v>
      </c>
      <c r="AD22" s="1" t="n">
        <v>21</v>
      </c>
      <c r="AE22" s="1" t="n">
        <v>9.3</v>
      </c>
    </row>
    <row r="23" customFormat="false" ht="12.75" hidden="false" customHeight="false" outlineLevel="0" collapsed="false">
      <c r="A23" s="48" t="s">
        <v>190</v>
      </c>
      <c r="B23" s="1" t="n">
        <v>0</v>
      </c>
      <c r="C23" s="48" t="n">
        <v>11.9</v>
      </c>
      <c r="D23" s="48" t="n">
        <v>13.38</v>
      </c>
      <c r="E23" s="48" t="n">
        <v>1</v>
      </c>
      <c r="F23" s="48" t="n">
        <v>0</v>
      </c>
      <c r="G23" s="48" t="n">
        <v>0.466</v>
      </c>
      <c r="H23" s="1" t="n">
        <v>0.444</v>
      </c>
      <c r="I23" s="48" t="n">
        <v>4</v>
      </c>
      <c r="J23" s="48" t="n">
        <v>71.4</v>
      </c>
      <c r="K23" s="48" t="n">
        <v>11.5</v>
      </c>
      <c r="L23" s="48" t="n">
        <v>0.604</v>
      </c>
      <c r="M23" s="48" t="n">
        <v>5</v>
      </c>
      <c r="N23" s="48" t="n">
        <v>3.2</v>
      </c>
      <c r="O23" s="48" t="n">
        <v>77.5</v>
      </c>
      <c r="P23" s="48" t="n">
        <v>13.9</v>
      </c>
      <c r="Q23" s="48" t="n">
        <v>0.5687</v>
      </c>
      <c r="R23" s="48" t="n">
        <v>521</v>
      </c>
      <c r="S23" s="48" t="n">
        <v>0.715</v>
      </c>
      <c r="T23" s="1" t="n">
        <v>0.606</v>
      </c>
      <c r="U23" s="1" t="n">
        <v>6.1</v>
      </c>
      <c r="V23" s="1" t="n">
        <v>0.361</v>
      </c>
      <c r="W23" s="1" t="n">
        <v>0</v>
      </c>
      <c r="X23" s="1" t="n">
        <v>36.2</v>
      </c>
      <c r="Y23" s="1" t="n">
        <v>2557</v>
      </c>
      <c r="Z23" s="1" t="n">
        <v>33</v>
      </c>
      <c r="AA23" s="1" t="n">
        <v>1</v>
      </c>
      <c r="AB23" s="1" t="n">
        <v>7</v>
      </c>
      <c r="AC23" s="1" t="n">
        <v>3</v>
      </c>
      <c r="AD23" s="1" t="n">
        <v>12</v>
      </c>
      <c r="AE23" s="1" t="n">
        <v>10.1</v>
      </c>
    </row>
    <row r="24" customFormat="false" ht="12.75" hidden="false" customHeight="false" outlineLevel="0" collapsed="false">
      <c r="A24" s="48" t="s">
        <v>191</v>
      </c>
      <c r="B24" s="1" t="n">
        <v>1</v>
      </c>
      <c r="C24" s="48" t="n">
        <v>16.2</v>
      </c>
      <c r="D24" s="48" t="n">
        <v>15.82</v>
      </c>
      <c r="E24" s="48" t="n">
        <v>1</v>
      </c>
      <c r="F24" s="48" t="n">
        <v>0</v>
      </c>
      <c r="G24" s="48" t="n">
        <v>0.427</v>
      </c>
      <c r="H24" s="48" t="n">
        <v>0.429</v>
      </c>
      <c r="I24" s="48" t="n">
        <v>7</v>
      </c>
      <c r="J24" s="48" t="n">
        <v>61.9</v>
      </c>
      <c r="K24" s="48" t="n">
        <v>11.3</v>
      </c>
      <c r="L24" s="48" t="n">
        <v>0.57</v>
      </c>
      <c r="M24" s="48" t="n">
        <v>8</v>
      </c>
      <c r="N24" s="48" t="n">
        <v>4.69</v>
      </c>
      <c r="O24" s="48" t="n">
        <v>69.4</v>
      </c>
      <c r="P24" s="48" t="n">
        <v>14.4</v>
      </c>
      <c r="Q24" s="48" t="n">
        <v>0.566</v>
      </c>
      <c r="R24" s="48" t="n">
        <v>1560</v>
      </c>
      <c r="S24" s="48" t="n">
        <v>0.745</v>
      </c>
      <c r="T24" s="1" t="n">
        <v>0.656</v>
      </c>
      <c r="U24" s="1" t="n">
        <v>7.5</v>
      </c>
      <c r="V24" s="1" t="n">
        <v>0.244</v>
      </c>
      <c r="W24" s="1" t="n">
        <v>0</v>
      </c>
      <c r="X24" s="1" t="n">
        <v>37.7</v>
      </c>
      <c r="Y24" s="1" t="n">
        <v>2221</v>
      </c>
      <c r="Z24" s="1" t="n">
        <v>32</v>
      </c>
      <c r="AA24" s="1" t="n">
        <v>0</v>
      </c>
      <c r="AB24" s="1" t="n">
        <v>6</v>
      </c>
      <c r="AC24" s="1" t="n">
        <v>0</v>
      </c>
      <c r="AD24" s="1" t="n">
        <v>19</v>
      </c>
      <c r="AE24" s="1" t="n">
        <v>10.8</v>
      </c>
    </row>
    <row r="25" customFormat="false" ht="12.75" hidden="false" customHeight="false" outlineLevel="0" collapsed="false">
      <c r="A25" s="48" t="s">
        <v>192</v>
      </c>
      <c r="B25" s="1" t="n">
        <v>0</v>
      </c>
      <c r="C25" s="48" t="n">
        <v>21.2</v>
      </c>
      <c r="D25" s="48" t="n">
        <v>19.16</v>
      </c>
      <c r="E25" s="48" t="n">
        <v>1</v>
      </c>
      <c r="F25" s="48" t="n">
        <v>1</v>
      </c>
      <c r="G25" s="48" t="n">
        <v>0.48</v>
      </c>
      <c r="H25" s="48" t="n">
        <v>0.667</v>
      </c>
      <c r="I25" s="48" t="n">
        <v>8</v>
      </c>
      <c r="J25" s="48" t="n">
        <v>69.3</v>
      </c>
      <c r="K25" s="48" t="n">
        <v>11</v>
      </c>
      <c r="L25" s="48" t="n">
        <v>0.671</v>
      </c>
      <c r="M25" s="48" t="n">
        <v>14</v>
      </c>
      <c r="N25" s="48" t="n">
        <v>3.8</v>
      </c>
      <c r="O25" s="48" t="n">
        <v>78.4</v>
      </c>
      <c r="P25" s="48" t="n">
        <v>16.2</v>
      </c>
      <c r="Q25" s="48" t="n">
        <v>0.5916</v>
      </c>
      <c r="R25" s="48" t="n">
        <v>491</v>
      </c>
      <c r="S25" s="48" t="n">
        <v>0.696</v>
      </c>
      <c r="T25" s="1" t="n">
        <v>0.758</v>
      </c>
      <c r="U25" s="1" t="n">
        <v>9.1</v>
      </c>
      <c r="V25" s="1" t="n">
        <v>0.298</v>
      </c>
      <c r="W25" s="1" t="n">
        <v>1</v>
      </c>
      <c r="X25" s="1" t="n">
        <v>35.9</v>
      </c>
      <c r="Y25" s="1" t="n">
        <v>2586</v>
      </c>
      <c r="Z25" s="1" t="n">
        <v>33</v>
      </c>
      <c r="AA25" s="1" t="n">
        <v>0</v>
      </c>
      <c r="AB25" s="1" t="n">
        <v>3</v>
      </c>
      <c r="AC25" s="1" t="n">
        <v>1</v>
      </c>
      <c r="AD25" s="1" t="n">
        <v>14</v>
      </c>
      <c r="AE25" s="1" t="n">
        <v>8.3</v>
      </c>
    </row>
    <row r="26" customFormat="false" ht="12.75" hidden="false" customHeight="false" outlineLevel="0" collapsed="false">
      <c r="A26" s="48" t="s">
        <v>71</v>
      </c>
      <c r="B26" s="1" t="n">
        <v>1</v>
      </c>
      <c r="C26" s="48" t="n">
        <v>20.3</v>
      </c>
      <c r="D26" s="48" t="n">
        <v>19.56</v>
      </c>
      <c r="E26" s="48" t="n">
        <v>1</v>
      </c>
      <c r="F26" s="48" t="n">
        <v>0</v>
      </c>
      <c r="G26" s="48" t="n">
        <v>0.44</v>
      </c>
      <c r="H26" s="48" t="n">
        <v>0.583</v>
      </c>
      <c r="I26" s="48" t="n">
        <v>6</v>
      </c>
      <c r="J26" s="48" t="n">
        <v>64.7</v>
      </c>
      <c r="K26" s="48" t="n">
        <v>12.8</v>
      </c>
      <c r="L26" s="48" t="n">
        <v>0.755</v>
      </c>
      <c r="M26" s="48" t="n">
        <v>13</v>
      </c>
      <c r="N26" s="48" t="n">
        <v>5.03</v>
      </c>
      <c r="O26" s="48" t="n">
        <v>71.2</v>
      </c>
      <c r="P26" s="48" t="n">
        <v>13.2</v>
      </c>
      <c r="Q26" s="48" t="n">
        <v>0.6296</v>
      </c>
      <c r="R26" s="48" t="n">
        <v>203</v>
      </c>
      <c r="S26" s="48" t="n">
        <v>0.719</v>
      </c>
      <c r="T26" s="1" t="n">
        <v>0.765</v>
      </c>
      <c r="U26" s="1" t="n">
        <v>6.5</v>
      </c>
      <c r="V26" s="1" t="n">
        <v>0.245</v>
      </c>
      <c r="W26" s="1" t="n">
        <v>1</v>
      </c>
      <c r="X26" s="1" t="n">
        <v>38.1</v>
      </c>
      <c r="Y26" s="1" t="n">
        <v>2421</v>
      </c>
      <c r="Z26" s="1" t="n">
        <v>34</v>
      </c>
      <c r="AA26" s="1" t="n">
        <v>2</v>
      </c>
      <c r="AB26" s="1" t="n">
        <v>16</v>
      </c>
      <c r="AC26" s="1" t="n">
        <v>10</v>
      </c>
      <c r="AD26" s="1" t="n">
        <v>12</v>
      </c>
      <c r="AE26" s="1" t="n">
        <v>10.4</v>
      </c>
    </row>
    <row r="27" customFormat="false" ht="12.75" hidden="false" customHeight="false" outlineLevel="0" collapsed="false">
      <c r="A27" s="48" t="s">
        <v>24</v>
      </c>
      <c r="B27" s="1" t="n">
        <v>4</v>
      </c>
      <c r="C27" s="48" t="n">
        <v>33.9</v>
      </c>
      <c r="D27" s="48" t="n">
        <v>29.45</v>
      </c>
      <c r="E27" s="48" t="n">
        <v>1</v>
      </c>
      <c r="F27" s="48" t="n">
        <v>1</v>
      </c>
      <c r="G27" s="48" t="n">
        <v>0.469</v>
      </c>
      <c r="H27" s="48" t="n">
        <v>1</v>
      </c>
      <c r="I27" s="48" t="n">
        <v>10</v>
      </c>
      <c r="J27" s="48" t="n">
        <v>54</v>
      </c>
      <c r="K27" s="48" t="n">
        <v>10.6</v>
      </c>
      <c r="L27" s="48" t="n">
        <v>0.832</v>
      </c>
      <c r="M27" s="48" t="n">
        <v>13</v>
      </c>
      <c r="N27" s="48" t="n">
        <v>6.88</v>
      </c>
      <c r="O27" s="48" t="n">
        <v>74.9</v>
      </c>
      <c r="P27" s="48" t="n">
        <v>14.7</v>
      </c>
      <c r="Q27" s="48" t="n">
        <v>0.5707</v>
      </c>
      <c r="R27" s="48" t="n">
        <v>70</v>
      </c>
      <c r="S27" s="48" t="n">
        <v>0.722</v>
      </c>
      <c r="T27" s="1" t="n">
        <v>1</v>
      </c>
      <c r="U27" s="1" t="n">
        <v>20.9</v>
      </c>
      <c r="V27" s="1" t="n">
        <v>0.218</v>
      </c>
      <c r="W27" s="1" t="n">
        <v>1</v>
      </c>
      <c r="X27" s="1" t="n">
        <v>38.2</v>
      </c>
      <c r="Y27" s="1" t="n">
        <v>2547</v>
      </c>
      <c r="Z27" s="1" t="n">
        <v>34</v>
      </c>
      <c r="AA27" s="1" t="n">
        <v>5</v>
      </c>
      <c r="AB27" s="1" t="n">
        <v>15</v>
      </c>
      <c r="AC27" s="1" t="n">
        <v>11</v>
      </c>
      <c r="AD27" s="1" t="n">
        <v>10</v>
      </c>
      <c r="AE27" s="1" t="n">
        <v>11.6</v>
      </c>
    </row>
    <row r="28" customFormat="false" ht="12.75" hidden="false" customHeight="false" outlineLevel="0" collapsed="false">
      <c r="A28" s="48" t="s">
        <v>250</v>
      </c>
      <c r="B28" s="1" t="n">
        <v>0</v>
      </c>
      <c r="C28" s="48" t="n">
        <v>-2.8</v>
      </c>
      <c r="D28" s="48" t="n">
        <v>-2.66</v>
      </c>
      <c r="E28" s="48" t="n">
        <v>0</v>
      </c>
      <c r="F28" s="48" t="n">
        <v>0</v>
      </c>
      <c r="G28" s="48" t="n">
        <v>0.488</v>
      </c>
      <c r="H28" s="48" t="n">
        <v>0.636</v>
      </c>
      <c r="I28" s="48" t="n">
        <v>6</v>
      </c>
      <c r="J28" s="48" t="n">
        <v>69.5</v>
      </c>
      <c r="K28" s="48" t="n">
        <v>11</v>
      </c>
      <c r="L28" s="48" t="n">
        <v>0.486</v>
      </c>
      <c r="M28" s="48" t="n">
        <v>1</v>
      </c>
      <c r="N28" s="48" t="n">
        <v>2.6</v>
      </c>
      <c r="O28" s="48" t="n">
        <v>74.2</v>
      </c>
      <c r="P28" s="48" t="n">
        <v>15.4</v>
      </c>
      <c r="Q28" s="48" t="n">
        <v>0.489</v>
      </c>
      <c r="R28" s="48" t="n">
        <v>252</v>
      </c>
      <c r="S28" s="48" t="n">
        <v>0.765</v>
      </c>
      <c r="T28" s="1" t="n">
        <v>0.613</v>
      </c>
      <c r="U28" s="1" t="n">
        <v>1.1</v>
      </c>
      <c r="V28" s="1" t="n">
        <v>0.325</v>
      </c>
      <c r="W28" s="1" t="n">
        <v>0</v>
      </c>
      <c r="X28" s="1" t="n">
        <v>31.6</v>
      </c>
      <c r="Y28" s="1" t="n">
        <v>2374</v>
      </c>
      <c r="Z28" s="1" t="n">
        <v>32</v>
      </c>
      <c r="AA28" s="1" t="n">
        <v>0</v>
      </c>
      <c r="AB28" s="1" t="n">
        <v>2</v>
      </c>
      <c r="AC28" s="1" t="n">
        <v>0</v>
      </c>
      <c r="AD28" s="1" t="n">
        <v>20</v>
      </c>
      <c r="AE28" s="1" t="n">
        <v>7.2</v>
      </c>
    </row>
    <row r="29" customFormat="false" ht="12.75" hidden="false" customHeight="false" outlineLevel="0" collapsed="false">
      <c r="A29" s="48" t="s">
        <v>109</v>
      </c>
      <c r="B29" s="1" t="n">
        <v>3</v>
      </c>
      <c r="C29" s="48" t="n">
        <v>16.5</v>
      </c>
      <c r="D29" s="48" t="n">
        <v>18.65</v>
      </c>
      <c r="E29" s="48" t="n">
        <v>1</v>
      </c>
      <c r="F29" s="48" t="n">
        <v>0</v>
      </c>
      <c r="G29" s="48" t="n">
        <v>0.429</v>
      </c>
      <c r="H29" s="48" t="n">
        <v>0.6</v>
      </c>
      <c r="I29" s="48" t="n">
        <v>5</v>
      </c>
      <c r="J29" s="48" t="n">
        <v>59.5</v>
      </c>
      <c r="K29" s="48" t="n">
        <v>11.8</v>
      </c>
      <c r="L29" s="48" t="n">
        <v>0.741</v>
      </c>
      <c r="M29" s="48" t="n">
        <v>5</v>
      </c>
      <c r="N29" s="48" t="n">
        <v>5.5</v>
      </c>
      <c r="O29" s="48" t="n">
        <v>69.2</v>
      </c>
      <c r="P29" s="48" t="n">
        <v>11.7</v>
      </c>
      <c r="Q29" s="48" t="n">
        <v>0.5745</v>
      </c>
      <c r="R29" s="48" t="n">
        <v>1942</v>
      </c>
      <c r="S29" s="48" t="n">
        <v>0.66</v>
      </c>
      <c r="T29" s="1" t="n">
        <v>0.75</v>
      </c>
      <c r="U29" s="1" t="n">
        <v>9.7</v>
      </c>
      <c r="V29" s="1" t="n">
        <v>0.245</v>
      </c>
      <c r="W29" s="1" t="n">
        <v>1</v>
      </c>
      <c r="X29" s="1" t="n">
        <v>38.1</v>
      </c>
      <c r="Y29" s="1" t="n">
        <v>2215</v>
      </c>
      <c r="Z29" s="1" t="n">
        <v>32</v>
      </c>
      <c r="AA29" s="1" t="n">
        <v>7</v>
      </c>
      <c r="AB29" s="1" t="n">
        <v>19</v>
      </c>
      <c r="AC29" s="1" t="n">
        <v>12</v>
      </c>
      <c r="AD29" s="1" t="n">
        <v>13</v>
      </c>
      <c r="AE29" s="1" t="n">
        <v>12</v>
      </c>
    </row>
    <row r="30" customFormat="false" ht="12.75" hidden="false" customHeight="false" outlineLevel="0" collapsed="false">
      <c r="A30" s="48" t="s">
        <v>251</v>
      </c>
      <c r="B30" s="1" t="n">
        <v>0</v>
      </c>
      <c r="C30" s="48" t="n">
        <v>12.1</v>
      </c>
      <c r="D30" s="48" t="n">
        <v>11.67</v>
      </c>
      <c r="E30" s="48" t="n">
        <v>1</v>
      </c>
      <c r="F30" s="48" t="n">
        <v>0</v>
      </c>
      <c r="G30" s="48" t="n">
        <v>0.456</v>
      </c>
      <c r="H30" s="48" t="n">
        <v>0.545</v>
      </c>
      <c r="I30" s="48" t="n">
        <v>6</v>
      </c>
      <c r="J30" s="48" t="n">
        <v>67.7</v>
      </c>
      <c r="K30" s="48" t="n">
        <v>14.6</v>
      </c>
      <c r="L30" s="48" t="n">
        <v>0.574</v>
      </c>
      <c r="M30" s="48" t="n">
        <v>6</v>
      </c>
      <c r="N30" s="48" t="n">
        <v>6.19</v>
      </c>
      <c r="O30" s="48" t="n">
        <v>73.7</v>
      </c>
      <c r="P30" s="48" t="n">
        <v>15.7</v>
      </c>
      <c r="Q30" s="48" t="n">
        <v>0.535</v>
      </c>
      <c r="R30" s="48" t="n">
        <v>936</v>
      </c>
      <c r="S30" s="48" t="n">
        <v>0.689</v>
      </c>
      <c r="T30" s="1" t="n">
        <v>0.688</v>
      </c>
      <c r="U30" s="1" t="n">
        <v>6</v>
      </c>
      <c r="V30" s="1" t="n">
        <v>0.234</v>
      </c>
      <c r="W30" s="1" t="n">
        <v>0</v>
      </c>
      <c r="X30" s="1" t="n">
        <v>39.2</v>
      </c>
      <c r="Y30" s="1" t="n">
        <v>2358</v>
      </c>
      <c r="Z30" s="1" t="n">
        <v>32</v>
      </c>
      <c r="AA30" s="1" t="n">
        <v>0</v>
      </c>
      <c r="AB30" s="1" t="n">
        <v>2</v>
      </c>
      <c r="AC30" s="1" t="n">
        <v>0</v>
      </c>
      <c r="AD30" s="1" t="n">
        <v>11</v>
      </c>
      <c r="AE30" s="1" t="n">
        <v>10.3</v>
      </c>
    </row>
    <row r="31" customFormat="false" ht="12.75" hidden="false" customHeight="false" outlineLevel="0" collapsed="false">
      <c r="A31" s="48" t="s">
        <v>252</v>
      </c>
      <c r="B31" s="1" t="n">
        <v>0</v>
      </c>
      <c r="C31" s="48" t="n">
        <v>1.4</v>
      </c>
      <c r="D31" s="48" t="n">
        <v>-0.64</v>
      </c>
      <c r="E31" s="48" t="n">
        <v>0</v>
      </c>
      <c r="F31" s="48" t="n">
        <v>0</v>
      </c>
      <c r="G31" s="48" t="n">
        <v>0.435</v>
      </c>
      <c r="H31" s="48" t="n">
        <v>0.5</v>
      </c>
      <c r="I31" s="48" t="n">
        <v>7</v>
      </c>
      <c r="J31" s="48" t="n">
        <v>67.5</v>
      </c>
      <c r="K31" s="48" t="n">
        <v>14.5</v>
      </c>
      <c r="L31" s="48" t="n">
        <v>0.603</v>
      </c>
      <c r="M31" s="48" t="n">
        <v>0</v>
      </c>
      <c r="N31" s="48" t="n">
        <v>2.8</v>
      </c>
      <c r="O31" s="48" t="n">
        <v>69.9</v>
      </c>
      <c r="P31" s="48" t="n">
        <v>13.9</v>
      </c>
      <c r="Q31" s="48" t="n">
        <v>0.4615</v>
      </c>
      <c r="R31" s="48" t="n">
        <v>658</v>
      </c>
      <c r="S31" s="48" t="n">
        <v>0.694</v>
      </c>
      <c r="T31" s="1" t="n">
        <v>0.594</v>
      </c>
      <c r="U31" s="1" t="n">
        <v>2.4</v>
      </c>
      <c r="V31" s="1" t="n">
        <v>0.28</v>
      </c>
      <c r="W31" s="1" t="n">
        <v>0</v>
      </c>
      <c r="X31" s="1" t="n">
        <v>33.1</v>
      </c>
      <c r="Y31" s="1" t="n">
        <v>2236</v>
      </c>
      <c r="Z31" s="1" t="n">
        <v>32</v>
      </c>
      <c r="AA31" s="1" t="n">
        <v>0</v>
      </c>
      <c r="AB31" s="1" t="n">
        <v>1</v>
      </c>
      <c r="AC31" s="1" t="n">
        <v>0</v>
      </c>
      <c r="AD31" s="1" t="n">
        <v>22</v>
      </c>
      <c r="AE31" s="1" t="n">
        <v>8.9</v>
      </c>
    </row>
    <row r="32" customFormat="false" ht="12.75" hidden="false" customHeight="false" outlineLevel="0" collapsed="false">
      <c r="A32" s="48" t="s">
        <v>111</v>
      </c>
      <c r="B32" s="1" t="n">
        <v>1</v>
      </c>
      <c r="C32" s="48" t="n">
        <v>13.9</v>
      </c>
      <c r="D32" s="48" t="n">
        <v>14.08</v>
      </c>
      <c r="E32" s="48" t="n">
        <v>1</v>
      </c>
      <c r="F32" s="48" t="n">
        <v>0</v>
      </c>
      <c r="G32" s="48" t="n">
        <v>0.438</v>
      </c>
      <c r="H32" s="48" t="n">
        <v>0.889</v>
      </c>
      <c r="I32" s="48" t="n">
        <v>8</v>
      </c>
      <c r="J32" s="48" t="n">
        <v>63.2</v>
      </c>
      <c r="K32" s="48" t="n">
        <v>14.1</v>
      </c>
      <c r="L32" s="48" t="n">
        <v>0.618</v>
      </c>
      <c r="M32" s="48" t="n">
        <v>8</v>
      </c>
      <c r="N32" s="48" t="n">
        <v>4.2</v>
      </c>
      <c r="O32" s="48" t="n">
        <v>69.5</v>
      </c>
      <c r="P32" s="48" t="n">
        <v>10.9</v>
      </c>
      <c r="Q32" s="48" t="n">
        <v>0.5609</v>
      </c>
      <c r="R32" s="48" t="n">
        <v>596.83</v>
      </c>
      <c r="S32" s="48" t="n">
        <v>0.757</v>
      </c>
      <c r="T32" s="1" t="n">
        <v>0.818</v>
      </c>
      <c r="U32" s="1" t="n">
        <v>6.2</v>
      </c>
      <c r="V32" s="1" t="n">
        <v>0.315</v>
      </c>
      <c r="W32" s="1" t="n">
        <v>0</v>
      </c>
      <c r="X32" s="1" t="n">
        <v>35.2</v>
      </c>
      <c r="Y32" s="1" t="n">
        <v>2293</v>
      </c>
      <c r="Z32" s="1" t="n">
        <v>33</v>
      </c>
      <c r="AA32" s="1" t="n">
        <v>0</v>
      </c>
      <c r="AB32" s="1" t="n">
        <v>5</v>
      </c>
      <c r="AC32" s="1" t="n">
        <v>1</v>
      </c>
      <c r="AD32" s="1" t="n">
        <v>17</v>
      </c>
      <c r="AE32" s="1" t="n">
        <v>7.8</v>
      </c>
    </row>
    <row r="33" customFormat="false" ht="12.75" hidden="false" customHeight="false" outlineLevel="0" collapsed="false">
      <c r="A33" s="48" t="s">
        <v>194</v>
      </c>
      <c r="B33" s="1" t="n">
        <v>4</v>
      </c>
      <c r="C33" s="48" t="n">
        <v>18</v>
      </c>
      <c r="D33" s="48" t="n">
        <v>17.53</v>
      </c>
      <c r="E33" s="48" t="n">
        <v>1</v>
      </c>
      <c r="F33" s="48" t="n">
        <v>0</v>
      </c>
      <c r="G33" s="48" t="n">
        <v>0.471</v>
      </c>
      <c r="H33" s="48" t="n">
        <v>0.444</v>
      </c>
      <c r="I33" s="48" t="n">
        <v>7</v>
      </c>
      <c r="J33" s="48" t="n">
        <v>63.4</v>
      </c>
      <c r="K33" s="48" t="n">
        <v>11.6</v>
      </c>
      <c r="L33" s="48" t="n">
        <v>0.713</v>
      </c>
      <c r="M33" s="48" t="n">
        <v>7</v>
      </c>
      <c r="N33" s="48" t="n">
        <v>4.6</v>
      </c>
      <c r="O33" s="48" t="n">
        <v>69.8</v>
      </c>
      <c r="P33" s="48" t="n">
        <v>17.1</v>
      </c>
      <c r="Q33" s="48" t="n">
        <v>0.5906</v>
      </c>
      <c r="R33" s="48" t="n">
        <v>550</v>
      </c>
      <c r="S33" s="48" t="n">
        <v>0.633</v>
      </c>
      <c r="T33" s="1" t="n">
        <v>0.676</v>
      </c>
      <c r="U33" s="1" t="n">
        <v>8.5</v>
      </c>
      <c r="V33" s="1" t="n">
        <v>0.314</v>
      </c>
      <c r="W33" s="1" t="n">
        <v>1</v>
      </c>
      <c r="X33" s="1" t="n">
        <v>37.7</v>
      </c>
      <c r="Y33" s="1" t="n">
        <v>2444</v>
      </c>
      <c r="Z33" s="1" t="n">
        <v>34</v>
      </c>
      <c r="AA33" s="1" t="n">
        <v>6</v>
      </c>
      <c r="AB33" s="1" t="n">
        <v>17</v>
      </c>
      <c r="AC33" s="1" t="n">
        <v>12</v>
      </c>
      <c r="AD33" s="1" t="n">
        <v>19</v>
      </c>
      <c r="AE33" s="1" t="n">
        <v>10.3</v>
      </c>
    </row>
    <row r="34" customFormat="false" ht="12.75" hidden="false" customHeight="false" outlineLevel="0" collapsed="false">
      <c r="A34" s="48" t="s">
        <v>253</v>
      </c>
      <c r="B34" s="1" t="n">
        <v>0</v>
      </c>
      <c r="C34" s="48" t="n">
        <v>12.8</v>
      </c>
      <c r="D34" s="48" t="n">
        <v>11.88</v>
      </c>
      <c r="E34" s="48" t="n">
        <v>1</v>
      </c>
      <c r="F34" s="48" t="n">
        <v>0</v>
      </c>
      <c r="G34" s="48" t="n">
        <v>0.426</v>
      </c>
      <c r="H34" s="48" t="n">
        <v>0.333</v>
      </c>
      <c r="I34" s="48" t="n">
        <v>5</v>
      </c>
      <c r="J34" s="48" t="n">
        <v>67.5</v>
      </c>
      <c r="K34" s="48" t="n">
        <v>11.3</v>
      </c>
      <c r="L34" s="48" t="n">
        <v>0.631</v>
      </c>
      <c r="M34" s="48" t="n">
        <v>5</v>
      </c>
      <c r="N34" s="48" t="n">
        <v>3.7</v>
      </c>
      <c r="O34" s="48" t="n">
        <v>74.1</v>
      </c>
      <c r="P34" s="48" t="n">
        <v>12.8</v>
      </c>
      <c r="Q34" s="48" t="n">
        <v>0.5181</v>
      </c>
      <c r="R34" s="48" t="n">
        <v>538</v>
      </c>
      <c r="S34" s="48" t="n">
        <v>0.778</v>
      </c>
      <c r="T34" s="1" t="n">
        <v>0.625</v>
      </c>
      <c r="U34" s="1" t="n">
        <v>5.1</v>
      </c>
      <c r="V34" s="1" t="n">
        <v>0.267</v>
      </c>
      <c r="W34" s="1" t="n">
        <v>0</v>
      </c>
      <c r="X34" s="1" t="n">
        <v>37.7</v>
      </c>
      <c r="Y34" s="1" t="n">
        <v>2324</v>
      </c>
      <c r="Z34" s="1" t="n">
        <v>32</v>
      </c>
      <c r="AA34" s="1" t="n">
        <v>0</v>
      </c>
      <c r="AB34" s="1" t="n">
        <v>1</v>
      </c>
      <c r="AC34" s="1" t="n">
        <v>0</v>
      </c>
      <c r="AD34" s="1" t="n">
        <v>20</v>
      </c>
      <c r="AE34" s="1" t="n">
        <v>10.2</v>
      </c>
    </row>
    <row r="35" customFormat="false" ht="12.75" hidden="false" customHeight="false" outlineLevel="0" collapsed="false">
      <c r="A35" s="48" t="s">
        <v>74</v>
      </c>
      <c r="B35" s="1" t="n">
        <v>2</v>
      </c>
      <c r="C35" s="48" t="n">
        <v>8.5</v>
      </c>
      <c r="D35" s="48" t="n">
        <v>14.25</v>
      </c>
      <c r="E35" s="48" t="n">
        <v>1</v>
      </c>
      <c r="F35" s="48" t="n">
        <v>0</v>
      </c>
      <c r="G35" s="48" t="n">
        <v>0.437</v>
      </c>
      <c r="H35" s="48" t="n">
        <v>0.3</v>
      </c>
      <c r="I35" s="48" t="n">
        <v>6</v>
      </c>
      <c r="J35" s="48" t="n">
        <v>65.4</v>
      </c>
      <c r="K35" s="48" t="n">
        <v>10.6</v>
      </c>
      <c r="L35" s="48" t="n">
        <v>0.643</v>
      </c>
      <c r="M35" s="48" t="n">
        <v>2</v>
      </c>
      <c r="N35" s="48" t="n">
        <v>5.3</v>
      </c>
      <c r="O35" s="48" t="n">
        <v>70.4</v>
      </c>
      <c r="P35" s="48" t="n">
        <v>11.6</v>
      </c>
      <c r="Q35" s="48" t="n">
        <v>0.5898</v>
      </c>
      <c r="R35" s="48" t="n">
        <v>330</v>
      </c>
      <c r="S35" s="48" t="n">
        <v>0.683</v>
      </c>
      <c r="T35" s="1" t="n">
        <v>0.606</v>
      </c>
      <c r="U35" s="1" t="n">
        <v>5</v>
      </c>
      <c r="V35" s="1" t="n">
        <v>0.283</v>
      </c>
      <c r="W35" s="1" t="n">
        <v>0</v>
      </c>
      <c r="X35" s="1" t="n">
        <v>37.8</v>
      </c>
      <c r="Y35" s="1" t="n">
        <v>2323</v>
      </c>
      <c r="Z35" s="1" t="n">
        <v>33</v>
      </c>
      <c r="AA35" s="1" t="n">
        <v>0</v>
      </c>
      <c r="AB35" s="1" t="n">
        <v>10</v>
      </c>
      <c r="AC35" s="1" t="n">
        <v>2</v>
      </c>
      <c r="AD35" s="1" t="n">
        <v>15</v>
      </c>
      <c r="AE35" s="1" t="n">
        <v>10.5</v>
      </c>
    </row>
    <row r="36" customFormat="false" ht="12.75" hidden="false" customHeight="false" outlineLevel="0" collapsed="false">
      <c r="A36" s="48" t="s">
        <v>254</v>
      </c>
      <c r="B36" s="1" t="n">
        <v>0</v>
      </c>
      <c r="C36" s="48" t="n">
        <v>6.2</v>
      </c>
      <c r="D36" s="48" t="n">
        <v>3.88</v>
      </c>
      <c r="E36" s="48" t="n">
        <v>0</v>
      </c>
      <c r="F36" s="48" t="n">
        <v>0</v>
      </c>
      <c r="G36" s="48" t="n">
        <v>0.466</v>
      </c>
      <c r="H36" s="48" t="n">
        <v>0.3</v>
      </c>
      <c r="I36" s="48" t="n">
        <v>10</v>
      </c>
      <c r="J36" s="48" t="n">
        <v>59.3</v>
      </c>
      <c r="K36" s="48" t="n">
        <v>13.9</v>
      </c>
      <c r="L36" s="48" t="n">
        <v>0.632</v>
      </c>
      <c r="M36" s="48" t="n">
        <v>1</v>
      </c>
      <c r="N36" s="48" t="n">
        <v>3.7</v>
      </c>
      <c r="O36" s="48" t="n">
        <v>66.1</v>
      </c>
      <c r="P36" s="48" t="n">
        <v>11.8</v>
      </c>
      <c r="Q36" s="48" t="n">
        <v>0.5132</v>
      </c>
      <c r="R36" s="48" t="n">
        <v>859</v>
      </c>
      <c r="S36" s="48" t="n">
        <v>0.707</v>
      </c>
      <c r="T36" s="1" t="n">
        <v>0.677</v>
      </c>
      <c r="U36" s="1" t="n">
        <v>8.2</v>
      </c>
      <c r="V36" s="1" t="n">
        <v>0.212</v>
      </c>
      <c r="W36" s="1" t="n">
        <v>0</v>
      </c>
      <c r="X36" s="1" t="n">
        <v>34.8</v>
      </c>
      <c r="Y36" s="1" t="n">
        <v>2260</v>
      </c>
      <c r="Z36" s="1" t="n">
        <v>33</v>
      </c>
      <c r="AA36" s="1" t="n">
        <v>0</v>
      </c>
      <c r="AB36" s="1" t="n">
        <v>4</v>
      </c>
      <c r="AC36" s="1" t="n">
        <v>0</v>
      </c>
      <c r="AD36" s="1" t="n">
        <v>19</v>
      </c>
      <c r="AE36" s="1" t="n">
        <v>11.2</v>
      </c>
    </row>
    <row r="37" customFormat="false" ht="12.75" hidden="false" customHeight="false" outlineLevel="0" collapsed="false">
      <c r="A37" s="48" t="s">
        <v>51</v>
      </c>
      <c r="B37" s="1" t="n">
        <v>2</v>
      </c>
      <c r="C37" s="48" t="n">
        <v>20.3</v>
      </c>
      <c r="D37" s="48" t="n">
        <v>21.32</v>
      </c>
      <c r="E37" s="48" t="n">
        <v>1</v>
      </c>
      <c r="F37" s="48" t="n">
        <v>0</v>
      </c>
      <c r="G37" s="48" t="n">
        <v>0.475</v>
      </c>
      <c r="H37" s="48"/>
      <c r="I37" s="48" t="n">
        <v>6</v>
      </c>
      <c r="J37" s="48" t="n">
        <v>68.4</v>
      </c>
      <c r="K37" s="48" t="n">
        <v>12.7</v>
      </c>
      <c r="L37" s="48" t="n">
        <v>0.769</v>
      </c>
      <c r="M37" s="48" t="n">
        <v>9</v>
      </c>
      <c r="N37" s="48" t="n">
        <v>4.4</v>
      </c>
      <c r="O37" s="48" t="n">
        <v>67.2</v>
      </c>
      <c r="P37" s="48" t="n">
        <v>17.7</v>
      </c>
      <c r="Q37" s="48" t="n">
        <v>0.6129</v>
      </c>
      <c r="R37" s="48" t="n">
        <v>414</v>
      </c>
      <c r="S37" s="48" t="n">
        <v>0.701</v>
      </c>
      <c r="T37" s="1" t="n">
        <v>0.686</v>
      </c>
      <c r="U37" s="1" t="n">
        <v>9.5</v>
      </c>
      <c r="V37" s="1" t="n">
        <v>0.184</v>
      </c>
      <c r="W37" s="1" t="n">
        <v>1</v>
      </c>
      <c r="X37" s="1" t="n">
        <v>41</v>
      </c>
      <c r="Y37" s="1" t="n">
        <v>2727</v>
      </c>
      <c r="Z37" s="1" t="n">
        <v>35</v>
      </c>
      <c r="AA37" s="1" t="n">
        <v>7</v>
      </c>
      <c r="AB37" s="1" t="n">
        <v>24</v>
      </c>
      <c r="AC37" s="1" t="n">
        <v>15</v>
      </c>
      <c r="AD37" s="1" t="n">
        <v>14</v>
      </c>
      <c r="AE37" s="1" t="n">
        <v>11.8</v>
      </c>
    </row>
    <row r="38" customFormat="false" ht="12.75" hidden="false" customHeight="false" outlineLevel="0" collapsed="false">
      <c r="A38" s="48" t="s">
        <v>255</v>
      </c>
      <c r="B38" s="1" t="n">
        <v>0</v>
      </c>
      <c r="C38" s="48" t="n">
        <v>13.3</v>
      </c>
      <c r="D38" s="48" t="n">
        <v>-2.18</v>
      </c>
      <c r="E38" s="48" t="n">
        <v>0</v>
      </c>
      <c r="F38" s="48" t="n">
        <v>0</v>
      </c>
      <c r="G38" s="48" t="n">
        <v>0.43</v>
      </c>
      <c r="H38" s="48" t="n">
        <v>0.25</v>
      </c>
      <c r="I38" s="48" t="n">
        <v>8</v>
      </c>
      <c r="J38" s="48" t="n">
        <v>61.5</v>
      </c>
      <c r="K38" s="48" t="n">
        <v>9.8</v>
      </c>
      <c r="L38" s="48" t="n">
        <v>0.789</v>
      </c>
      <c r="M38" s="48" t="n">
        <v>0</v>
      </c>
      <c r="N38" s="48" t="n">
        <v>3.8</v>
      </c>
      <c r="O38" s="48" t="n">
        <v>67.1</v>
      </c>
      <c r="P38" s="48" t="n">
        <v>9.4</v>
      </c>
      <c r="Q38" s="48" t="n">
        <v>0.4662</v>
      </c>
      <c r="R38" s="48" t="n">
        <v>1194</v>
      </c>
      <c r="S38" s="48" t="n">
        <v>0.68</v>
      </c>
      <c r="T38" s="1" t="n">
        <v>0.7</v>
      </c>
      <c r="U38" s="1" t="n">
        <v>2.3</v>
      </c>
      <c r="V38" s="1" t="n">
        <v>0.32</v>
      </c>
      <c r="W38" s="1" t="n">
        <v>0</v>
      </c>
      <c r="X38" s="1" t="n">
        <v>33.6</v>
      </c>
      <c r="Y38" s="1" t="n">
        <v>2065</v>
      </c>
      <c r="Z38" s="1" t="n">
        <v>30</v>
      </c>
      <c r="AA38" s="1" t="n">
        <v>0</v>
      </c>
      <c r="AB38" s="1" t="n">
        <v>0</v>
      </c>
      <c r="AC38" s="1" t="n">
        <v>0</v>
      </c>
      <c r="AD38" s="1" t="n">
        <v>14</v>
      </c>
      <c r="AE38" s="1" t="n">
        <v>7.5</v>
      </c>
    </row>
    <row r="39" customFormat="false" ht="12.75" hidden="false" customHeight="false" outlineLevel="0" collapsed="false">
      <c r="A39" s="48" t="s">
        <v>256</v>
      </c>
      <c r="B39" s="1" t="n">
        <v>0</v>
      </c>
      <c r="C39" s="48" t="n">
        <v>2.9</v>
      </c>
      <c r="D39" s="48" t="n">
        <v>-0.34</v>
      </c>
      <c r="E39" s="48" t="n">
        <v>0</v>
      </c>
      <c r="F39" s="48" t="n">
        <v>0</v>
      </c>
      <c r="G39" s="48" t="n">
        <v>0.469</v>
      </c>
      <c r="H39" s="48"/>
      <c r="I39" s="48" t="n">
        <v>9</v>
      </c>
      <c r="J39" s="48" t="n">
        <v>67.8</v>
      </c>
      <c r="K39" s="48" t="n">
        <v>12.3</v>
      </c>
      <c r="L39" s="48" t="n">
        <v>0.495</v>
      </c>
      <c r="M39" s="48" t="n">
        <v>1</v>
      </c>
      <c r="N39" s="48" t="n">
        <v>4.2</v>
      </c>
      <c r="O39" s="48" t="n">
        <v>70.7</v>
      </c>
      <c r="P39" s="48" t="n">
        <v>13.4</v>
      </c>
      <c r="Q39" s="48" t="n">
        <v>0.439</v>
      </c>
      <c r="R39" s="48" t="n">
        <v>345</v>
      </c>
      <c r="S39" s="48" t="n">
        <v>0.728</v>
      </c>
      <c r="T39" s="1" t="n">
        <v>0.645</v>
      </c>
      <c r="U39" s="1" t="n">
        <v>5.4</v>
      </c>
      <c r="V39" s="1" t="n">
        <v>0.359</v>
      </c>
      <c r="W39" s="1" t="n">
        <v>0</v>
      </c>
      <c r="X39" s="1" t="n">
        <v>34.2</v>
      </c>
      <c r="Y39" s="1" t="n">
        <v>2574</v>
      </c>
      <c r="Z39" s="1" t="n">
        <v>34</v>
      </c>
      <c r="AA39" s="1" t="n">
        <v>0</v>
      </c>
      <c r="AB39" s="1" t="n">
        <v>0</v>
      </c>
      <c r="AC39" s="1" t="n">
        <v>0</v>
      </c>
      <c r="AD39" s="1" t="n">
        <v>17</v>
      </c>
      <c r="AE39" s="1" t="n">
        <v>8</v>
      </c>
    </row>
    <row r="40" customFormat="false" ht="12.75" hidden="false" customHeight="false" outlineLevel="0" collapsed="false">
      <c r="A40" s="48" t="s">
        <v>257</v>
      </c>
      <c r="B40" s="1" t="n">
        <v>0</v>
      </c>
      <c r="C40" s="48" t="n">
        <v>3.6</v>
      </c>
      <c r="D40" s="48" t="n">
        <v>1.98</v>
      </c>
      <c r="E40" s="48" t="n">
        <v>0</v>
      </c>
      <c r="F40" s="48" t="n">
        <v>0</v>
      </c>
      <c r="G40" s="48" t="n">
        <v>0.486</v>
      </c>
      <c r="H40" s="48" t="n">
        <v>0.5</v>
      </c>
      <c r="I40" s="48" t="n">
        <v>7</v>
      </c>
      <c r="J40" s="48" t="n">
        <v>65</v>
      </c>
      <c r="K40" s="48" t="n">
        <v>13.2</v>
      </c>
      <c r="L40" s="48" t="n">
        <v>0.496</v>
      </c>
      <c r="M40" s="48" t="n">
        <v>1</v>
      </c>
      <c r="N40" s="48" t="n">
        <v>3.8</v>
      </c>
      <c r="O40" s="48" t="n">
        <v>68.6</v>
      </c>
      <c r="P40" s="48" t="n">
        <v>14.3</v>
      </c>
      <c r="Q40" s="48" t="n">
        <v>0.4891</v>
      </c>
      <c r="R40" s="48" t="n">
        <v>480</v>
      </c>
      <c r="S40" s="48" t="n">
        <v>0.724</v>
      </c>
      <c r="T40" s="1" t="n">
        <v>0.676</v>
      </c>
      <c r="U40" s="1" t="n">
        <v>3.6</v>
      </c>
      <c r="V40" s="1" t="n">
        <v>0.257</v>
      </c>
      <c r="W40" s="1" t="n">
        <v>0</v>
      </c>
      <c r="X40" s="1" t="n">
        <v>33.1</v>
      </c>
      <c r="Y40" s="1" t="n">
        <v>2332</v>
      </c>
      <c r="Z40" s="1" t="n">
        <v>34</v>
      </c>
      <c r="AA40" s="1" t="n">
        <v>0</v>
      </c>
      <c r="AB40" s="1" t="n">
        <v>0</v>
      </c>
      <c r="AC40" s="1" t="n">
        <v>0</v>
      </c>
      <c r="AD40" s="1" t="n">
        <v>19</v>
      </c>
      <c r="AE40" s="1" t="n">
        <v>7.1</v>
      </c>
    </row>
    <row r="41" customFormat="false" ht="12.75" hidden="false" customHeight="false" outlineLevel="0" collapsed="false">
      <c r="A41" s="48" t="s">
        <v>121</v>
      </c>
      <c r="B41" s="1" t="n">
        <v>3</v>
      </c>
      <c r="C41" s="48" t="n">
        <v>22.5</v>
      </c>
      <c r="D41" s="48" t="n">
        <v>19.42</v>
      </c>
      <c r="E41" s="48" t="n">
        <v>1</v>
      </c>
      <c r="F41" s="48" t="n">
        <v>1</v>
      </c>
      <c r="G41" s="48" t="n">
        <v>0.51</v>
      </c>
      <c r="H41" s="48" t="n">
        <v>0.7</v>
      </c>
      <c r="I41" s="48" t="n">
        <v>8</v>
      </c>
      <c r="J41" s="48" t="n">
        <v>65.6</v>
      </c>
      <c r="K41" s="48" t="n">
        <v>9.4</v>
      </c>
      <c r="L41" s="48" t="n">
        <v>0.662</v>
      </c>
      <c r="M41" s="48" t="n">
        <v>8</v>
      </c>
      <c r="N41" s="48" t="n">
        <v>3.6</v>
      </c>
      <c r="O41" s="48" t="n">
        <v>78.8</v>
      </c>
      <c r="P41" s="48" t="n">
        <v>15.1</v>
      </c>
      <c r="Q41" s="48" t="n">
        <v>0.5435</v>
      </c>
      <c r="R41" s="48" t="n">
        <v>337</v>
      </c>
      <c r="S41" s="48" t="n">
        <v>0.74</v>
      </c>
      <c r="T41" s="1" t="n">
        <v>0.853</v>
      </c>
      <c r="U41" s="1" t="n">
        <v>13.2</v>
      </c>
      <c r="V41" s="1" t="n">
        <v>0.315</v>
      </c>
      <c r="W41" s="1" t="n">
        <v>0</v>
      </c>
      <c r="X41" s="1" t="n">
        <v>32.8</v>
      </c>
      <c r="Y41" s="1" t="n">
        <v>2680</v>
      </c>
      <c r="Z41" s="1" t="n">
        <v>34</v>
      </c>
      <c r="AA41" s="1" t="n">
        <v>0</v>
      </c>
      <c r="AB41" s="1" t="n">
        <v>11</v>
      </c>
      <c r="AC41" s="1" t="n">
        <v>1</v>
      </c>
      <c r="AD41" s="1" t="n">
        <v>17</v>
      </c>
      <c r="AE41" s="1" t="n">
        <v>7.2</v>
      </c>
    </row>
    <row r="42" customFormat="false" ht="12.75" hidden="false" customHeight="false" outlineLevel="0" collapsed="false">
      <c r="A42" s="48" t="s">
        <v>41</v>
      </c>
      <c r="B42" s="1" t="n">
        <v>1</v>
      </c>
      <c r="C42" s="48" t="n">
        <v>16.9</v>
      </c>
      <c r="D42" s="48" t="n">
        <v>20.43</v>
      </c>
      <c r="E42" s="48" t="n">
        <v>1</v>
      </c>
      <c r="F42" s="48" t="n">
        <v>0</v>
      </c>
      <c r="G42" s="48" t="n">
        <v>0.486</v>
      </c>
      <c r="H42" s="48" t="n">
        <v>0.5</v>
      </c>
      <c r="I42" s="48" t="n">
        <v>6</v>
      </c>
      <c r="J42" s="48" t="n">
        <v>62.3</v>
      </c>
      <c r="K42" s="48" t="n">
        <v>11.3</v>
      </c>
      <c r="L42" s="48" t="n">
        <v>0.764</v>
      </c>
      <c r="M42" s="48" t="n">
        <v>4</v>
      </c>
      <c r="N42" s="48" t="n">
        <v>5.1</v>
      </c>
      <c r="O42" s="48" t="n">
        <v>75.8</v>
      </c>
      <c r="P42" s="48" t="n">
        <v>15.4</v>
      </c>
      <c r="Q42" s="48" t="n">
        <v>0.5482</v>
      </c>
      <c r="R42" s="48" t="n">
        <v>2028</v>
      </c>
      <c r="S42" s="48" t="n">
        <v>0.678</v>
      </c>
      <c r="T42" s="1" t="n">
        <v>0.697</v>
      </c>
      <c r="U42" s="1" t="n">
        <v>13.4</v>
      </c>
      <c r="V42" s="1" t="n">
        <v>0.27</v>
      </c>
      <c r="W42" s="1" t="n">
        <v>1</v>
      </c>
      <c r="X42" s="1" t="n">
        <v>35.8</v>
      </c>
      <c r="Y42" s="1" t="n">
        <v>2502</v>
      </c>
      <c r="Z42" s="1" t="n">
        <v>33</v>
      </c>
      <c r="AA42" s="1" t="n">
        <v>2</v>
      </c>
      <c r="AB42" s="1" t="n">
        <v>12</v>
      </c>
      <c r="AC42" s="1" t="n">
        <v>6</v>
      </c>
      <c r="AD42" s="1" t="n">
        <v>16</v>
      </c>
      <c r="AE42" s="1" t="n">
        <v>9.8</v>
      </c>
    </row>
    <row r="43" customFormat="false" ht="12.75" hidden="false" customHeight="false" outlineLevel="0" collapsed="false">
      <c r="A43" s="48" t="s">
        <v>85</v>
      </c>
      <c r="B43" s="1" t="n">
        <v>2</v>
      </c>
      <c r="C43" s="48" t="n">
        <v>20.4</v>
      </c>
      <c r="D43" s="48" t="n">
        <v>19.92</v>
      </c>
      <c r="E43" s="48" t="n">
        <v>1</v>
      </c>
      <c r="F43" s="48" t="n">
        <v>0</v>
      </c>
      <c r="G43" s="48" t="n">
        <v>0.436</v>
      </c>
      <c r="H43" s="48" t="n">
        <v>0.375</v>
      </c>
      <c r="I43" s="48" t="n">
        <v>7</v>
      </c>
      <c r="J43" s="48" t="n">
        <v>62.8</v>
      </c>
      <c r="K43" s="48" t="n">
        <v>12.1</v>
      </c>
      <c r="L43" s="48" t="n">
        <v>0.614</v>
      </c>
      <c r="M43" s="48" t="n">
        <v>11</v>
      </c>
      <c r="N43" s="48" t="n">
        <v>5</v>
      </c>
      <c r="O43" s="48" t="n">
        <v>71.9</v>
      </c>
      <c r="P43" s="48" t="n">
        <v>12.5</v>
      </c>
      <c r="Q43" s="48" t="n">
        <v>0.587</v>
      </c>
      <c r="R43" s="48" t="n">
        <v>856</v>
      </c>
      <c r="S43" s="48" t="n">
        <v>0.735</v>
      </c>
      <c r="T43" s="1" t="n">
        <v>0.688</v>
      </c>
      <c r="U43" s="1" t="n">
        <v>9.2</v>
      </c>
      <c r="V43" s="1" t="n">
        <v>0.281</v>
      </c>
      <c r="W43" s="1" t="n">
        <v>1</v>
      </c>
      <c r="X43" s="1" t="n">
        <v>38.3</v>
      </c>
      <c r="Y43" s="1" t="n">
        <v>2302</v>
      </c>
      <c r="Z43" s="1" t="n">
        <v>32</v>
      </c>
      <c r="AA43" s="1" t="n">
        <v>0</v>
      </c>
      <c r="AB43" s="1" t="n">
        <v>15</v>
      </c>
      <c r="AC43" s="1" t="n">
        <v>3</v>
      </c>
      <c r="AD43" s="1" t="n">
        <v>17</v>
      </c>
      <c r="AE43" s="1" t="n">
        <v>9.5</v>
      </c>
    </row>
    <row r="44" customFormat="false" ht="12.75" hidden="false" customHeight="false" outlineLevel="0" collapsed="false">
      <c r="A44" s="48" t="s">
        <v>258</v>
      </c>
      <c r="B44" s="1" t="n">
        <v>0</v>
      </c>
      <c r="C44" s="48" t="n">
        <v>13.2</v>
      </c>
      <c r="D44" s="48" t="n">
        <v>13.99</v>
      </c>
      <c r="E44" s="48" t="n">
        <v>1</v>
      </c>
      <c r="F44" s="48" t="n">
        <v>0</v>
      </c>
      <c r="G44" s="48" t="n">
        <v>0.439</v>
      </c>
      <c r="H44" s="48" t="n">
        <v>0.5</v>
      </c>
      <c r="I44" s="48" t="n">
        <v>4</v>
      </c>
      <c r="J44" s="48" t="n">
        <v>62.3</v>
      </c>
      <c r="K44" s="48" t="n">
        <v>12.3</v>
      </c>
      <c r="L44" s="48" t="n">
        <v>0.592</v>
      </c>
      <c r="M44" s="48" t="n">
        <v>5</v>
      </c>
      <c r="N44" s="48" t="n">
        <v>5</v>
      </c>
      <c r="O44" s="48" t="n">
        <v>66.5</v>
      </c>
      <c r="P44" s="48" t="n">
        <v>11.3</v>
      </c>
      <c r="Q44" s="48" t="n">
        <v>0.5796</v>
      </c>
      <c r="R44" s="48" t="n">
        <v>359</v>
      </c>
      <c r="S44" s="48" t="n">
        <v>0.731</v>
      </c>
      <c r="T44" s="1" t="n">
        <v>0.567</v>
      </c>
      <c r="U44" s="1" t="n">
        <v>3.6</v>
      </c>
      <c r="V44" s="1" t="n">
        <v>0.31</v>
      </c>
      <c r="W44" s="1" t="n">
        <v>0</v>
      </c>
      <c r="X44" s="1" t="n">
        <v>31.9</v>
      </c>
      <c r="Y44" s="1" t="n">
        <v>2087</v>
      </c>
      <c r="Z44" s="1" t="n">
        <v>31</v>
      </c>
      <c r="AA44" s="1" t="n">
        <v>0</v>
      </c>
      <c r="AB44" s="1" t="n">
        <v>5</v>
      </c>
      <c r="AC44" s="1" t="n">
        <v>0</v>
      </c>
      <c r="AD44" s="1" t="n">
        <v>19</v>
      </c>
      <c r="AE44" s="1" t="n">
        <v>7.2</v>
      </c>
    </row>
    <row r="45" customFormat="false" ht="12.75" hidden="false" customHeight="false" outlineLevel="0" collapsed="false">
      <c r="A45" s="48" t="s">
        <v>123</v>
      </c>
      <c r="B45" s="1" t="n">
        <v>1</v>
      </c>
      <c r="C45" s="48" t="n">
        <v>12.7</v>
      </c>
      <c r="D45" s="48" t="n">
        <v>11.35</v>
      </c>
      <c r="E45" s="48" t="n">
        <v>1</v>
      </c>
      <c r="F45" s="48" t="n">
        <v>0</v>
      </c>
      <c r="G45" s="48" t="n">
        <v>0.461</v>
      </c>
      <c r="H45" s="48" t="n">
        <v>1</v>
      </c>
      <c r="I45" s="48" t="n">
        <v>8</v>
      </c>
      <c r="J45" s="48" t="n">
        <v>70.7</v>
      </c>
      <c r="K45" s="48" t="n">
        <v>11.8</v>
      </c>
      <c r="L45" s="48" t="n">
        <v>0.642</v>
      </c>
      <c r="M45" s="48" t="n">
        <v>4</v>
      </c>
      <c r="N45" s="48" t="n">
        <v>4.3</v>
      </c>
      <c r="O45" s="48" t="n">
        <v>71.7</v>
      </c>
      <c r="P45" s="48" t="n">
        <v>13.9</v>
      </c>
      <c r="Q45" s="48" t="n">
        <v>0.5619</v>
      </c>
      <c r="R45" s="48" t="n">
        <v>1385</v>
      </c>
      <c r="S45" s="48" t="n">
        <v>0.767</v>
      </c>
      <c r="T45" s="1" t="n">
        <v>0.727</v>
      </c>
      <c r="U45" s="1" t="n">
        <v>4</v>
      </c>
      <c r="V45" s="1" t="n">
        <v>0.29</v>
      </c>
      <c r="W45" s="1" t="n">
        <v>0</v>
      </c>
      <c r="X45" s="1" t="n">
        <v>35.7</v>
      </c>
      <c r="Y45" s="1" t="n">
        <v>2569</v>
      </c>
      <c r="Z45" s="1" t="n">
        <v>34</v>
      </c>
      <c r="AA45" s="1" t="n">
        <v>0</v>
      </c>
      <c r="AB45" s="1" t="n">
        <v>10</v>
      </c>
      <c r="AC45" s="1" t="n">
        <v>1</v>
      </c>
      <c r="AD45" s="1" t="n">
        <v>13</v>
      </c>
      <c r="AE45" s="1" t="n">
        <v>8.8</v>
      </c>
    </row>
    <row r="46" customFormat="false" ht="12.75" hidden="false" customHeight="false" outlineLevel="0" collapsed="false">
      <c r="A46" s="48" t="s">
        <v>50</v>
      </c>
      <c r="B46" s="1" t="n">
        <v>0</v>
      </c>
      <c r="C46" s="48" t="n">
        <v>15.2</v>
      </c>
      <c r="D46" s="48" t="n">
        <v>14.47</v>
      </c>
      <c r="E46" s="48" t="n">
        <v>1</v>
      </c>
      <c r="F46" s="48" t="n">
        <v>0</v>
      </c>
      <c r="G46" s="48" t="n">
        <v>0.442</v>
      </c>
      <c r="H46" s="48" t="n">
        <v>0.75</v>
      </c>
      <c r="I46" s="48" t="n">
        <v>5</v>
      </c>
      <c r="J46" s="48" t="n">
        <v>65.5</v>
      </c>
      <c r="K46" s="48" t="n">
        <v>11.8</v>
      </c>
      <c r="L46" s="48" t="n">
        <v>0.583</v>
      </c>
      <c r="M46" s="48" t="n">
        <v>7</v>
      </c>
      <c r="N46" s="48" t="n">
        <v>4.7</v>
      </c>
      <c r="O46" s="48" t="n">
        <v>70.2</v>
      </c>
      <c r="P46" s="48" t="n">
        <v>14.1</v>
      </c>
      <c r="Q46" s="48" t="n">
        <v>0.5926</v>
      </c>
      <c r="R46" s="48" t="n">
        <v>618</v>
      </c>
      <c r="S46" s="48" t="n">
        <v>0.71</v>
      </c>
      <c r="T46" s="1" t="n">
        <v>0.667</v>
      </c>
      <c r="U46" s="1" t="n">
        <v>4.7</v>
      </c>
      <c r="V46" s="1" t="n">
        <v>0.208</v>
      </c>
      <c r="W46" s="1" t="n">
        <v>0</v>
      </c>
      <c r="X46" s="1" t="n">
        <v>35.9</v>
      </c>
      <c r="Y46" s="1" t="n">
        <v>2317</v>
      </c>
      <c r="Z46" s="1" t="n">
        <v>33</v>
      </c>
      <c r="AA46" s="1" t="n">
        <v>0</v>
      </c>
      <c r="AB46" s="1" t="n">
        <v>1</v>
      </c>
      <c r="AC46" s="1" t="n">
        <v>0</v>
      </c>
      <c r="AD46" s="1" t="n">
        <v>15</v>
      </c>
      <c r="AE46" s="1" t="n">
        <v>9.9</v>
      </c>
    </row>
    <row r="47" customFormat="false" ht="12.75" hidden="false" customHeight="false" outlineLevel="0" collapsed="false">
      <c r="A47" s="48" t="s">
        <v>69</v>
      </c>
      <c r="B47" s="1" t="n">
        <v>0</v>
      </c>
      <c r="C47" s="48" t="n">
        <v>11.4</v>
      </c>
      <c r="D47" s="48" t="n">
        <v>13.38</v>
      </c>
      <c r="E47" s="48" t="n">
        <v>1</v>
      </c>
      <c r="F47" s="48" t="n">
        <v>0</v>
      </c>
      <c r="G47" s="48" t="n">
        <v>0.453</v>
      </c>
      <c r="H47" s="48" t="n">
        <v>0.667</v>
      </c>
      <c r="I47" s="48" t="n">
        <v>6</v>
      </c>
      <c r="J47" s="48" t="n">
        <v>64.5</v>
      </c>
      <c r="K47" s="48" t="n">
        <v>13.1</v>
      </c>
      <c r="L47" s="48" t="n">
        <v>0.651</v>
      </c>
      <c r="M47" s="48" t="n">
        <v>6</v>
      </c>
      <c r="N47" s="48" t="n">
        <v>5.3</v>
      </c>
      <c r="O47" s="48" t="n">
        <v>70</v>
      </c>
      <c r="P47" s="48" t="n">
        <v>14.9</v>
      </c>
      <c r="Q47" s="48" t="n">
        <v>0.5531</v>
      </c>
      <c r="R47" s="48" t="n">
        <v>163</v>
      </c>
      <c r="S47" s="48" t="n">
        <v>0.685</v>
      </c>
      <c r="T47" s="1" t="n">
        <v>0.636</v>
      </c>
      <c r="U47" s="1" t="n">
        <v>5.5</v>
      </c>
      <c r="V47" s="1" t="n">
        <v>0.248</v>
      </c>
      <c r="W47" s="1" t="n">
        <v>0</v>
      </c>
      <c r="X47" s="1" t="n">
        <v>36.3</v>
      </c>
      <c r="Y47" s="1" t="n">
        <v>2310</v>
      </c>
      <c r="Z47" s="1" t="n">
        <v>33</v>
      </c>
      <c r="AA47" s="1" t="n">
        <v>0</v>
      </c>
      <c r="AB47" s="1" t="n">
        <v>7</v>
      </c>
      <c r="AC47" s="1" t="n">
        <v>2</v>
      </c>
      <c r="AD47" s="1" t="n">
        <v>14</v>
      </c>
      <c r="AE47" s="1" t="n">
        <v>10</v>
      </c>
    </row>
    <row r="48" customFormat="false" ht="12.75" hidden="false" customHeight="false" outlineLevel="0" collapsed="false">
      <c r="A48" s="48" t="s">
        <v>259</v>
      </c>
      <c r="B48" s="1" t="n">
        <v>0</v>
      </c>
      <c r="C48" s="48" t="n">
        <v>-1.3</v>
      </c>
      <c r="D48" s="48" t="n">
        <v>-2.98</v>
      </c>
      <c r="E48" s="48" t="n">
        <v>0</v>
      </c>
      <c r="F48" s="48" t="n">
        <v>0</v>
      </c>
      <c r="G48" s="48" t="n">
        <v>0.446</v>
      </c>
      <c r="H48" s="48" t="n">
        <v>0.636</v>
      </c>
      <c r="I48" s="48" t="n">
        <v>8</v>
      </c>
      <c r="J48" s="48" t="n">
        <v>67.7</v>
      </c>
      <c r="K48" s="48" t="n">
        <v>13.8</v>
      </c>
      <c r="L48" s="48" t="n">
        <v>0.626</v>
      </c>
      <c r="M48" s="48" t="n">
        <v>0</v>
      </c>
      <c r="N48" s="48" t="n">
        <v>2.9</v>
      </c>
      <c r="O48" s="48" t="n">
        <v>69</v>
      </c>
      <c r="P48" s="48" t="n">
        <v>12.2</v>
      </c>
      <c r="Q48" s="48" t="n">
        <v>0.476</v>
      </c>
      <c r="R48" s="48" t="n">
        <v>368</v>
      </c>
      <c r="S48" s="48" t="n">
        <v>0.714</v>
      </c>
      <c r="T48" s="1" t="n">
        <v>0.567</v>
      </c>
      <c r="U48" s="1" t="n">
        <v>1.3</v>
      </c>
      <c r="V48" s="1" t="n">
        <v>0.278</v>
      </c>
      <c r="W48" s="1" t="n">
        <v>0</v>
      </c>
      <c r="X48" s="1" t="n">
        <v>34.2</v>
      </c>
      <c r="Y48" s="1" t="n">
        <v>2277</v>
      </c>
      <c r="Z48" s="1" t="n">
        <v>33</v>
      </c>
      <c r="AA48" s="1" t="n">
        <v>0</v>
      </c>
      <c r="AB48" s="1" t="n">
        <v>0</v>
      </c>
      <c r="AC48" s="1" t="n">
        <v>0</v>
      </c>
      <c r="AD48" s="1" t="n">
        <v>17</v>
      </c>
      <c r="AE48" s="1" t="n">
        <v>8.8</v>
      </c>
    </row>
    <row r="49" customFormat="false" ht="12.75" hidden="false" customHeight="false" outlineLevel="0" collapsed="false">
      <c r="A49" s="48" t="s">
        <v>260</v>
      </c>
      <c r="B49" s="1" t="n">
        <v>1</v>
      </c>
      <c r="C49" s="48" t="n">
        <v>5.3</v>
      </c>
      <c r="D49" s="48" t="n">
        <v>12.02</v>
      </c>
      <c r="E49" s="48" t="n">
        <v>0</v>
      </c>
      <c r="F49" s="48" t="n">
        <v>0</v>
      </c>
      <c r="G49" s="48" t="n">
        <v>0.419</v>
      </c>
      <c r="H49" s="48" t="n">
        <v>0.7</v>
      </c>
      <c r="I49" s="48" t="n">
        <v>8</v>
      </c>
      <c r="J49" s="48" t="n">
        <v>53.1</v>
      </c>
      <c r="K49" s="48" t="n">
        <v>11.4</v>
      </c>
      <c r="L49" s="1" t="n">
        <v>0.648</v>
      </c>
      <c r="M49" s="48" t="n">
        <v>4</v>
      </c>
      <c r="N49" s="48" t="n">
        <v>5</v>
      </c>
      <c r="O49" s="48" t="n">
        <v>62.6</v>
      </c>
      <c r="P49" s="48" t="n">
        <v>10.4</v>
      </c>
      <c r="Q49" s="48" t="n">
        <v>0.5438</v>
      </c>
      <c r="R49" s="48" t="n">
        <v>2079</v>
      </c>
      <c r="S49" s="48" t="n">
        <v>0.63</v>
      </c>
      <c r="T49" s="1" t="n">
        <v>0.758</v>
      </c>
      <c r="U49" s="1" t="n">
        <v>8</v>
      </c>
      <c r="V49" s="1" t="n">
        <v>0.254</v>
      </c>
      <c r="W49" s="1" t="n">
        <v>1</v>
      </c>
      <c r="X49" s="1" t="n">
        <v>35.3</v>
      </c>
      <c r="Y49" s="1" t="n">
        <v>2101</v>
      </c>
      <c r="Z49" s="1" t="n">
        <v>34</v>
      </c>
      <c r="AA49" s="1" t="n">
        <v>3</v>
      </c>
      <c r="AB49" s="1" t="n">
        <v>14</v>
      </c>
      <c r="AC49" s="1" t="n">
        <v>6</v>
      </c>
      <c r="AD49" s="1" t="n">
        <v>20</v>
      </c>
      <c r="AE49" s="1" t="n">
        <v>8.4</v>
      </c>
    </row>
    <row r="50" customFormat="false" ht="12.75" hidden="false" customHeight="false" outlineLevel="0" collapsed="false">
      <c r="A50" s="48" t="s">
        <v>125</v>
      </c>
      <c r="B50" s="1" t="n">
        <v>0</v>
      </c>
      <c r="C50" s="48" t="n">
        <v>17.4</v>
      </c>
      <c r="D50" s="48" t="n">
        <v>13.24</v>
      </c>
      <c r="E50" s="48" t="n">
        <v>1</v>
      </c>
      <c r="F50" s="48" t="n">
        <v>0</v>
      </c>
      <c r="G50" s="48" t="n">
        <v>0.479</v>
      </c>
      <c r="H50" s="48"/>
      <c r="I50" s="48" t="n">
        <v>9</v>
      </c>
      <c r="J50" s="48" t="n">
        <v>59.8</v>
      </c>
      <c r="K50" s="1" t="n">
        <v>12.6</v>
      </c>
      <c r="L50" s="48" t="n">
        <v>0.721</v>
      </c>
      <c r="M50" s="48" t="n">
        <v>3</v>
      </c>
      <c r="N50" s="48" t="n">
        <v>4.3</v>
      </c>
      <c r="O50" s="48" t="n">
        <v>69.4</v>
      </c>
      <c r="P50" s="48" t="n">
        <v>15.5</v>
      </c>
      <c r="Q50" s="48" t="n">
        <v>0.5629</v>
      </c>
      <c r="R50" s="48" t="n">
        <v>724</v>
      </c>
      <c r="S50" s="48" t="n">
        <v>0.705</v>
      </c>
      <c r="T50" s="1" t="n">
        <v>0.812</v>
      </c>
      <c r="U50" s="1" t="n">
        <v>9.7</v>
      </c>
      <c r="V50" s="1" t="n">
        <v>0.181</v>
      </c>
      <c r="W50" s="1" t="n">
        <v>1</v>
      </c>
      <c r="X50" s="1" t="n">
        <v>36.4</v>
      </c>
      <c r="Y50" s="1" t="n">
        <v>2291</v>
      </c>
      <c r="Z50" s="1" t="n">
        <v>33</v>
      </c>
      <c r="AA50" s="1" t="n">
        <v>3</v>
      </c>
      <c r="AB50" s="1" t="n">
        <v>7</v>
      </c>
      <c r="AC50" s="1" t="n">
        <v>4</v>
      </c>
      <c r="AD50" s="1" t="n">
        <v>16</v>
      </c>
      <c r="AE50" s="1" t="n">
        <v>9.9</v>
      </c>
    </row>
    <row r="51" customFormat="false" ht="12.75" hidden="false" customHeight="false" outlineLevel="0" collapsed="false">
      <c r="A51" s="48" t="s">
        <v>261</v>
      </c>
      <c r="B51" s="1" t="n">
        <v>0</v>
      </c>
      <c r="C51" s="48" t="n">
        <v>12.4</v>
      </c>
      <c r="D51" s="48" t="n">
        <v>12.49</v>
      </c>
      <c r="E51" s="48" t="n">
        <v>0</v>
      </c>
      <c r="F51" s="48" t="n">
        <v>0</v>
      </c>
      <c r="G51" s="48" t="n">
        <v>0.441</v>
      </c>
      <c r="H51" s="48" t="n">
        <v>0.4</v>
      </c>
      <c r="I51" s="48" t="n">
        <v>7</v>
      </c>
      <c r="J51" s="48" t="n">
        <v>67.6</v>
      </c>
      <c r="K51" s="48" t="n">
        <v>10.7</v>
      </c>
      <c r="L51" s="1" t="n">
        <v>0.61</v>
      </c>
      <c r="M51" s="48" t="n">
        <v>5</v>
      </c>
      <c r="N51" s="48" t="n">
        <v>6.5</v>
      </c>
      <c r="O51" s="48" t="n">
        <v>69.4</v>
      </c>
      <c r="P51" s="48" t="n">
        <v>12.4</v>
      </c>
      <c r="Q51" s="48" t="n">
        <v>0.5712</v>
      </c>
      <c r="R51" s="48" t="n">
        <v>540</v>
      </c>
      <c r="S51" s="48" t="n">
        <v>0.691</v>
      </c>
      <c r="T51" s="1" t="n">
        <v>0.645</v>
      </c>
      <c r="U51" s="1" t="n">
        <v>3.3</v>
      </c>
      <c r="V51" s="1" t="n">
        <v>0.257</v>
      </c>
      <c r="W51" s="1" t="n">
        <v>0</v>
      </c>
      <c r="X51" s="1" t="n">
        <v>35</v>
      </c>
      <c r="Y51" s="1" t="n">
        <v>2279</v>
      </c>
      <c r="Z51" s="1" t="n">
        <v>32</v>
      </c>
      <c r="AA51" s="1" t="n">
        <v>0</v>
      </c>
      <c r="AB51" s="1" t="n">
        <v>7</v>
      </c>
      <c r="AC51" s="1" t="n">
        <v>5</v>
      </c>
      <c r="AD51" s="1" t="n">
        <v>19</v>
      </c>
      <c r="AE51" s="1" t="n">
        <v>8.4</v>
      </c>
    </row>
    <row r="52" customFormat="false" ht="12.75" hidden="false" customHeight="false" outlineLevel="0" collapsed="false">
      <c r="A52" s="48" t="s">
        <v>262</v>
      </c>
      <c r="B52" s="1" t="n">
        <v>0</v>
      </c>
      <c r="C52" s="48" t="n">
        <v>13.9</v>
      </c>
      <c r="D52" s="48" t="n">
        <v>8.7</v>
      </c>
      <c r="E52" s="48" t="n">
        <v>0</v>
      </c>
      <c r="F52" s="48" t="n">
        <v>0</v>
      </c>
      <c r="G52" s="48" t="n">
        <v>0.491</v>
      </c>
      <c r="H52" s="48" t="n">
        <v>0.667</v>
      </c>
      <c r="I52" s="48" t="n">
        <v>9</v>
      </c>
      <c r="J52" s="48" t="n">
        <v>64.5</v>
      </c>
      <c r="K52" s="48" t="n">
        <v>14.1</v>
      </c>
      <c r="L52" s="48" t="n">
        <v>0.897</v>
      </c>
      <c r="M52" s="48" t="n">
        <v>0</v>
      </c>
      <c r="N52" s="48" t="n">
        <v>3.6</v>
      </c>
      <c r="O52" s="48" t="n">
        <v>79.5</v>
      </c>
      <c r="P52" s="48" t="n">
        <v>17.8</v>
      </c>
      <c r="Q52" s="48" t="n">
        <v>0.4935</v>
      </c>
      <c r="R52" s="48" t="n">
        <v>1781</v>
      </c>
      <c r="S52" s="48" t="n">
        <v>0.734</v>
      </c>
      <c r="T52" s="1" t="n">
        <v>0.867</v>
      </c>
      <c r="U52" s="1" t="n">
        <v>13.5</v>
      </c>
      <c r="V52" s="1" t="n">
        <v>0.294</v>
      </c>
      <c r="W52" s="1" t="n">
        <v>0</v>
      </c>
      <c r="X52" s="1" t="n">
        <v>34.4</v>
      </c>
      <c r="Y52" s="1" t="n">
        <v>2622</v>
      </c>
      <c r="Z52" s="1" t="n">
        <v>33</v>
      </c>
      <c r="AA52" s="1" t="n">
        <v>0</v>
      </c>
      <c r="AB52" s="1" t="n">
        <v>1</v>
      </c>
      <c r="AC52" s="1" t="n">
        <v>0</v>
      </c>
      <c r="AD52" s="1" t="n">
        <v>15</v>
      </c>
      <c r="AE52" s="1" t="n">
        <v>10.3</v>
      </c>
    </row>
    <row r="53" customFormat="false" ht="12.75" hidden="false" customHeight="false" outlineLevel="0" collapsed="false">
      <c r="A53" s="48" t="s">
        <v>33</v>
      </c>
      <c r="B53" s="1" t="n">
        <v>0</v>
      </c>
      <c r="C53" s="48" t="n">
        <v>17</v>
      </c>
      <c r="D53" s="48" t="n">
        <v>17.04</v>
      </c>
      <c r="E53" s="48" t="n">
        <v>1</v>
      </c>
      <c r="F53" s="48" t="n">
        <v>0</v>
      </c>
      <c r="G53" s="48" t="n">
        <v>0.436</v>
      </c>
      <c r="H53" s="48" t="n">
        <v>0.333</v>
      </c>
      <c r="I53" s="48" t="n">
        <v>5</v>
      </c>
      <c r="J53" s="48" t="n">
        <v>60.4</v>
      </c>
      <c r="K53" s="48" t="n">
        <v>12.7</v>
      </c>
      <c r="L53" s="48" t="n">
        <v>0.659</v>
      </c>
      <c r="M53" s="48" t="n">
        <v>2</v>
      </c>
      <c r="N53" s="48" t="n">
        <v>7.87</v>
      </c>
      <c r="O53" s="48" t="n">
        <v>68.2</v>
      </c>
      <c r="P53" s="48" t="n">
        <v>13.2</v>
      </c>
      <c r="Q53" s="48" t="n">
        <v>0.5805</v>
      </c>
      <c r="R53" s="48" t="n">
        <v>1087</v>
      </c>
      <c r="S53" s="48" t="n">
        <v>0.724</v>
      </c>
      <c r="T53" s="1" t="n">
        <v>0.606</v>
      </c>
      <c r="U53" s="1" t="n">
        <v>7.5</v>
      </c>
      <c r="V53" s="1" t="n">
        <v>0.276</v>
      </c>
      <c r="W53" s="1" t="n">
        <v>1</v>
      </c>
      <c r="X53" s="1" t="n">
        <v>39.7</v>
      </c>
      <c r="Y53" s="1" t="n">
        <v>2242</v>
      </c>
      <c r="Z53" s="1" t="n">
        <v>33</v>
      </c>
      <c r="AA53" s="1" t="n">
        <v>1</v>
      </c>
      <c r="AB53" s="1" t="n">
        <v>21</v>
      </c>
      <c r="AC53" s="1" t="n">
        <v>6</v>
      </c>
      <c r="AD53" s="1" t="n">
        <v>16</v>
      </c>
      <c r="AE53" s="1" t="n">
        <v>10.9</v>
      </c>
    </row>
    <row r="54" customFormat="false" ht="12.75" hidden="false" customHeight="false" outlineLevel="0" collapsed="false">
      <c r="A54" s="48" t="s">
        <v>263</v>
      </c>
      <c r="B54" s="1" t="n">
        <v>0</v>
      </c>
      <c r="C54" s="48" t="n">
        <v>-3.2</v>
      </c>
      <c r="D54" s="48" t="n">
        <v>-5.99</v>
      </c>
      <c r="E54" s="48" t="n">
        <v>0</v>
      </c>
      <c r="F54" s="48" t="n">
        <v>0</v>
      </c>
      <c r="G54" s="48" t="n">
        <v>0.444</v>
      </c>
      <c r="H54" s="48"/>
      <c r="I54" s="48" t="n">
        <v>10</v>
      </c>
      <c r="J54" s="48" t="n">
        <v>67.4</v>
      </c>
      <c r="K54" s="48" t="n">
        <v>13.1</v>
      </c>
      <c r="L54" s="48" t="n">
        <v>0.602</v>
      </c>
      <c r="M54" s="48" t="n">
        <v>1</v>
      </c>
      <c r="N54" s="48" t="n">
        <v>3.1</v>
      </c>
      <c r="O54" s="48" t="n">
        <v>66.5</v>
      </c>
      <c r="P54" s="48" t="n">
        <v>10.9</v>
      </c>
      <c r="Q54" s="48" t="n">
        <v>0.4546</v>
      </c>
      <c r="R54" s="48" t="n">
        <v>1838</v>
      </c>
      <c r="S54" s="48" t="n">
        <v>0.662</v>
      </c>
      <c r="T54" s="1" t="n">
        <v>0.647</v>
      </c>
      <c r="U54" s="1" t="n">
        <v>0.7</v>
      </c>
      <c r="V54" s="1" t="n">
        <v>0.233</v>
      </c>
      <c r="W54" s="1" t="n">
        <v>0</v>
      </c>
      <c r="X54" s="1" t="n">
        <v>34.5</v>
      </c>
      <c r="Y54" s="1" t="n">
        <v>2318</v>
      </c>
      <c r="Z54" s="1" t="n">
        <v>34</v>
      </c>
      <c r="AA54" s="1" t="n">
        <v>1</v>
      </c>
      <c r="AB54" s="1" t="n">
        <v>6</v>
      </c>
      <c r="AC54" s="1" t="n">
        <v>1</v>
      </c>
      <c r="AD54" s="1" t="n">
        <v>21</v>
      </c>
      <c r="AE54" s="1" t="n">
        <v>9</v>
      </c>
    </row>
    <row r="55" customFormat="false" ht="12.75" hidden="false" customHeight="false" outlineLevel="0" collapsed="false">
      <c r="A55" s="48" t="s">
        <v>264</v>
      </c>
      <c r="B55" s="1" t="n">
        <v>1</v>
      </c>
      <c r="C55" s="48" t="n">
        <v>3.5</v>
      </c>
      <c r="D55" s="48" t="n">
        <v>1.78</v>
      </c>
      <c r="E55" s="48" t="n">
        <v>0</v>
      </c>
      <c r="F55" s="48" t="n">
        <v>0</v>
      </c>
      <c r="G55" s="48" t="n">
        <v>0.43</v>
      </c>
      <c r="H55" s="48" t="n">
        <v>0.417</v>
      </c>
      <c r="I55" s="48" t="n">
        <v>6</v>
      </c>
      <c r="J55" s="48" t="n">
        <v>67.7</v>
      </c>
      <c r="K55" s="48" t="n">
        <v>13.6</v>
      </c>
      <c r="L55" s="48" t="n">
        <v>0.54</v>
      </c>
      <c r="M55" s="48" t="n">
        <v>0</v>
      </c>
      <c r="N55" s="48" t="n">
        <v>5.2</v>
      </c>
      <c r="O55" s="48" t="n">
        <v>68.9</v>
      </c>
      <c r="P55" s="48" t="n">
        <v>14.2</v>
      </c>
      <c r="Q55" s="48" t="n">
        <v>0.5204</v>
      </c>
      <c r="R55" s="48" t="n">
        <v>334</v>
      </c>
      <c r="S55" s="48" t="n">
        <v>0.739</v>
      </c>
      <c r="T55" s="1" t="n">
        <v>0.545</v>
      </c>
      <c r="U55" s="1" t="n">
        <v>0.8</v>
      </c>
      <c r="V55" s="1" t="n">
        <v>0.24</v>
      </c>
      <c r="W55" s="1" t="n">
        <v>0</v>
      </c>
      <c r="X55" s="1" t="n">
        <v>36.2</v>
      </c>
      <c r="Y55" s="1" t="n">
        <v>2341</v>
      </c>
      <c r="Z55" s="1" t="n">
        <v>34</v>
      </c>
      <c r="AA55" s="1" t="n">
        <v>0</v>
      </c>
      <c r="AB55" s="1" t="n">
        <v>0</v>
      </c>
      <c r="AC55" s="1" t="n">
        <v>0</v>
      </c>
      <c r="AD55" s="1" t="n">
        <v>10</v>
      </c>
      <c r="AE55" s="1" t="n">
        <v>10</v>
      </c>
    </row>
    <row r="56" customFormat="false" ht="12.75" hidden="false" customHeight="false" outlineLevel="0" collapsed="false">
      <c r="A56" s="48" t="s">
        <v>265</v>
      </c>
      <c r="B56" s="1" t="n">
        <v>0</v>
      </c>
      <c r="C56" s="48" t="n">
        <v>5.6</v>
      </c>
      <c r="D56" s="48" t="n">
        <v>3.51</v>
      </c>
      <c r="E56" s="48" t="n">
        <v>0</v>
      </c>
      <c r="F56" s="48" t="n">
        <v>0</v>
      </c>
      <c r="G56" s="48" t="n">
        <v>0.461</v>
      </c>
      <c r="H56" s="48" t="n">
        <v>0.375</v>
      </c>
      <c r="I56" s="48" t="n">
        <v>7</v>
      </c>
      <c r="J56" s="48" t="n">
        <v>62.3</v>
      </c>
      <c r="K56" s="48" t="n">
        <v>11.6</v>
      </c>
      <c r="L56" s="1" t="n">
        <v>0.533</v>
      </c>
      <c r="M56" s="48" t="n">
        <v>0</v>
      </c>
      <c r="N56" s="48" t="n">
        <v>5</v>
      </c>
      <c r="O56" s="48" t="n">
        <v>67.9</v>
      </c>
      <c r="P56" s="48" t="n">
        <v>13.8</v>
      </c>
      <c r="Q56" s="48" t="n">
        <v>0.5046</v>
      </c>
      <c r="R56" s="48" t="n">
        <v>994</v>
      </c>
      <c r="S56" s="48" t="n">
        <v>0.683</v>
      </c>
      <c r="T56" s="1" t="n">
        <v>0.613</v>
      </c>
      <c r="U56" s="1" t="n">
        <v>3.4</v>
      </c>
      <c r="V56" s="1" t="n">
        <v>0.284</v>
      </c>
      <c r="W56" s="1" t="n">
        <v>0</v>
      </c>
      <c r="X56" s="1" t="n">
        <v>35.4</v>
      </c>
      <c r="Y56" s="1" t="n">
        <v>2240</v>
      </c>
      <c r="Z56" s="1" t="n">
        <v>33</v>
      </c>
      <c r="AA56" s="1" t="n">
        <v>0</v>
      </c>
      <c r="AB56" s="1" t="n">
        <v>0</v>
      </c>
      <c r="AC56" s="1" t="n">
        <v>0</v>
      </c>
      <c r="AD56" s="1" t="n">
        <v>17</v>
      </c>
      <c r="AE56" s="1" t="n">
        <v>8.6</v>
      </c>
    </row>
    <row r="57" customFormat="false" ht="12.75" hidden="false" customHeight="false" outlineLevel="0" collapsed="false">
      <c r="A57" s="48" t="s">
        <v>64</v>
      </c>
      <c r="B57" s="1" t="n">
        <v>2</v>
      </c>
      <c r="C57" s="48" t="n">
        <v>12.8</v>
      </c>
      <c r="D57" s="48" t="n">
        <v>12.21</v>
      </c>
      <c r="E57" s="48" t="n">
        <v>1</v>
      </c>
      <c r="F57" s="48" t="n">
        <v>0</v>
      </c>
      <c r="G57" s="48" t="n">
        <v>0.441</v>
      </c>
      <c r="H57" s="48" t="n">
        <v>0.6</v>
      </c>
      <c r="I57" s="48" t="n">
        <v>6</v>
      </c>
      <c r="J57" s="48" t="n">
        <v>68</v>
      </c>
      <c r="K57" s="48" t="n">
        <v>11.9</v>
      </c>
      <c r="L57" s="48" t="n">
        <v>0.665</v>
      </c>
      <c r="M57" s="48" t="n">
        <v>4</v>
      </c>
      <c r="N57" s="48" t="n">
        <v>2.7</v>
      </c>
      <c r="O57" s="48" t="n">
        <v>72</v>
      </c>
      <c r="P57" s="48" t="n">
        <v>13.9</v>
      </c>
      <c r="Q57" s="48" t="n">
        <v>0.5674</v>
      </c>
      <c r="R57" s="48" t="n">
        <v>1839</v>
      </c>
      <c r="S57" s="48" t="n">
        <v>0.676</v>
      </c>
      <c r="T57" s="1" t="n">
        <v>0.606</v>
      </c>
      <c r="U57" s="1" t="n">
        <v>4</v>
      </c>
      <c r="V57" s="1" t="n">
        <v>0.259</v>
      </c>
      <c r="W57" s="1" t="n">
        <v>0</v>
      </c>
      <c r="X57" s="1" t="n">
        <v>38</v>
      </c>
      <c r="Y57" s="1" t="n">
        <v>2376</v>
      </c>
      <c r="Z57" s="1" t="n">
        <v>33</v>
      </c>
      <c r="AA57" s="1" t="n">
        <v>0</v>
      </c>
      <c r="AB57" s="1" t="n">
        <v>8</v>
      </c>
      <c r="AC57" s="1" t="n">
        <v>2</v>
      </c>
      <c r="AD57" s="1" t="n">
        <v>13</v>
      </c>
      <c r="AE57" s="1" t="n">
        <v>10.4</v>
      </c>
    </row>
    <row r="58" customFormat="false" ht="12.75" hidden="false" customHeight="false" outlineLevel="0" collapsed="false">
      <c r="A58" s="48" t="s">
        <v>266</v>
      </c>
      <c r="B58" s="1" t="n">
        <v>1</v>
      </c>
      <c r="C58" s="48" t="n">
        <v>20.6</v>
      </c>
      <c r="D58" s="48" t="n">
        <v>12.4</v>
      </c>
      <c r="E58" s="48" t="n">
        <v>0</v>
      </c>
      <c r="F58" s="48" t="n">
        <v>0</v>
      </c>
      <c r="G58" s="48" t="n">
        <v>0.483</v>
      </c>
      <c r="H58" s="48"/>
      <c r="I58" s="48" t="n">
        <v>9</v>
      </c>
      <c r="J58" s="48" t="n">
        <v>54.3</v>
      </c>
      <c r="K58" s="48" t="n">
        <v>10.5</v>
      </c>
      <c r="L58" s="48" t="n">
        <v>0.653</v>
      </c>
      <c r="M58" s="48" t="n">
        <v>4</v>
      </c>
      <c r="N58" s="48" t="n">
        <v>2.5</v>
      </c>
      <c r="O58" s="48" t="n">
        <v>65.4</v>
      </c>
      <c r="P58" s="48" t="n">
        <v>11.9</v>
      </c>
      <c r="Q58" s="48" t="n">
        <v>0.5167</v>
      </c>
      <c r="R58" s="48" t="n">
        <v>1491</v>
      </c>
      <c r="S58" s="48" t="n">
        <v>0.762</v>
      </c>
      <c r="T58" s="1" t="n">
        <v>0.909</v>
      </c>
      <c r="U58" s="1" t="n">
        <v>11.1</v>
      </c>
      <c r="V58" s="1" t="n">
        <v>0.337</v>
      </c>
      <c r="W58" s="1" t="n">
        <v>0</v>
      </c>
      <c r="X58" s="1" t="n">
        <v>30.8</v>
      </c>
      <c r="Y58" s="1" t="n">
        <v>2157</v>
      </c>
      <c r="Z58" s="1" t="n">
        <v>33</v>
      </c>
      <c r="AA58" s="1" t="n">
        <v>0</v>
      </c>
      <c r="AB58" s="1" t="n">
        <v>2</v>
      </c>
      <c r="AC58" s="1" t="n">
        <v>1</v>
      </c>
      <c r="AD58" s="1" t="n">
        <v>20</v>
      </c>
      <c r="AE58" s="1" t="n">
        <v>10.8</v>
      </c>
    </row>
    <row r="59" customFormat="false" ht="12.75" hidden="false" customHeight="false" outlineLevel="0" collapsed="false">
      <c r="A59" s="48" t="s">
        <v>206</v>
      </c>
      <c r="B59" s="1" t="n">
        <v>2</v>
      </c>
      <c r="C59" s="48" t="n">
        <v>22.4</v>
      </c>
      <c r="D59" s="48" t="n">
        <v>21.3</v>
      </c>
      <c r="E59" s="48" t="n">
        <v>1</v>
      </c>
      <c r="F59" s="48" t="n">
        <v>0</v>
      </c>
      <c r="G59" s="48" t="n">
        <v>0.485</v>
      </c>
      <c r="H59" s="48" t="n">
        <v>0.4</v>
      </c>
      <c r="I59" s="48" t="n">
        <v>6</v>
      </c>
      <c r="J59" s="48" t="n">
        <v>56.9</v>
      </c>
      <c r="K59" s="48" t="n">
        <v>11.4</v>
      </c>
      <c r="L59" s="48" t="n">
        <v>0.571</v>
      </c>
      <c r="M59" s="48" t="n">
        <v>3</v>
      </c>
      <c r="N59" s="48" t="n">
        <v>5</v>
      </c>
      <c r="O59" s="48" t="n">
        <v>72.1</v>
      </c>
      <c r="P59" s="48" t="n">
        <v>14.3</v>
      </c>
      <c r="Q59" s="48" t="n">
        <v>0.5643</v>
      </c>
      <c r="R59" s="48" t="n">
        <v>637</v>
      </c>
      <c r="S59" s="48" t="n">
        <v>0.702</v>
      </c>
      <c r="T59" s="1" t="n">
        <v>0.742</v>
      </c>
      <c r="U59" s="1" t="n">
        <v>14.5</v>
      </c>
      <c r="V59" s="1" t="n">
        <v>0.321</v>
      </c>
      <c r="W59" s="1" t="n">
        <v>1</v>
      </c>
      <c r="X59" s="1" t="n">
        <v>34.8</v>
      </c>
      <c r="Y59" s="1" t="n">
        <v>2307</v>
      </c>
      <c r="Z59" s="1" t="n">
        <v>32</v>
      </c>
      <c r="AA59" s="1" t="n">
        <v>0</v>
      </c>
      <c r="AB59" s="1" t="n">
        <v>2</v>
      </c>
      <c r="AC59" s="1" t="n">
        <v>0</v>
      </c>
      <c r="AD59" s="1" t="n">
        <v>16</v>
      </c>
      <c r="AE59" s="1" t="n">
        <v>8</v>
      </c>
    </row>
    <row r="60" customFormat="false" ht="12.75" hidden="false" customHeight="false" outlineLevel="0" collapsed="false">
      <c r="A60" s="48" t="s">
        <v>267</v>
      </c>
      <c r="B60" s="1" t="n">
        <v>0</v>
      </c>
      <c r="C60" s="48" t="n">
        <v>9.5</v>
      </c>
      <c r="D60" s="48" t="s">
        <v>268</v>
      </c>
      <c r="E60" s="48" t="n">
        <v>0</v>
      </c>
      <c r="F60" s="48" t="n">
        <v>0</v>
      </c>
      <c r="G60" s="48" t="n">
        <v>0.459</v>
      </c>
      <c r="H60" s="48" t="n">
        <v>0.778</v>
      </c>
      <c r="I60" s="48" t="n">
        <v>9</v>
      </c>
      <c r="J60" s="48" t="n">
        <v>59.3</v>
      </c>
      <c r="K60" s="48" t="n">
        <v>12.5</v>
      </c>
      <c r="L60" s="48" t="n">
        <v>0.696</v>
      </c>
      <c r="M60" s="48" t="n">
        <v>0</v>
      </c>
      <c r="N60" s="48" t="n">
        <v>4.8</v>
      </c>
      <c r="O60" s="48" t="n">
        <v>68.4</v>
      </c>
      <c r="P60" s="48" t="n">
        <v>13.1</v>
      </c>
      <c r="Q60" s="48" t="n">
        <v>0.4751</v>
      </c>
      <c r="R60" s="48" t="n">
        <v>51.4</v>
      </c>
      <c r="S60" s="48" t="n">
        <v>0.687</v>
      </c>
      <c r="T60" s="1" t="n">
        <v>0.833</v>
      </c>
      <c r="U60" s="1" t="n">
        <v>8.7</v>
      </c>
      <c r="V60" s="1" t="n">
        <v>0.292</v>
      </c>
      <c r="W60" s="1" t="n">
        <v>0</v>
      </c>
      <c r="X60" s="1" t="n">
        <v>36.8</v>
      </c>
      <c r="Y60" s="1" t="n">
        <v>2304</v>
      </c>
      <c r="Z60" s="1" t="n">
        <v>33</v>
      </c>
      <c r="AA60" s="1" t="n">
        <v>0</v>
      </c>
      <c r="AB60" s="1" t="n">
        <v>1</v>
      </c>
      <c r="AC60" s="1" t="n">
        <v>0</v>
      </c>
      <c r="AD60" s="1" t="n">
        <v>14</v>
      </c>
      <c r="AE60" s="1" t="n">
        <v>9.5</v>
      </c>
    </row>
    <row r="61" customFormat="false" ht="12.75" hidden="false" customHeight="false" outlineLevel="0" collapsed="false">
      <c r="A61" s="48" t="s">
        <v>207</v>
      </c>
      <c r="B61" s="1" t="n">
        <v>0</v>
      </c>
      <c r="C61" s="48" t="n">
        <v>14.5</v>
      </c>
      <c r="D61" s="48" t="n">
        <v>12.91</v>
      </c>
      <c r="E61" s="48" t="n">
        <v>0</v>
      </c>
      <c r="F61" s="48" t="n">
        <v>0</v>
      </c>
      <c r="G61" s="48" t="n">
        <v>0.42</v>
      </c>
      <c r="H61" s="48" t="n">
        <v>0.5</v>
      </c>
      <c r="I61" s="48" t="n">
        <v>7</v>
      </c>
      <c r="J61" s="48" t="n">
        <v>65.5</v>
      </c>
      <c r="K61" s="48" t="n">
        <v>10.7</v>
      </c>
      <c r="L61" s="48" t="n">
        <v>0.744</v>
      </c>
      <c r="M61" s="48" t="n">
        <v>7</v>
      </c>
      <c r="N61" s="48" t="n">
        <v>4.3</v>
      </c>
      <c r="O61" s="48" t="n">
        <v>72.5</v>
      </c>
      <c r="P61" s="48" t="n">
        <v>12.6</v>
      </c>
      <c r="Q61" s="48" t="n">
        <v>0.5829</v>
      </c>
      <c r="R61" s="48" t="n">
        <v>2373</v>
      </c>
      <c r="S61" s="48" t="n">
        <v>0.656</v>
      </c>
      <c r="T61" s="1" t="n">
        <v>0.743</v>
      </c>
      <c r="U61" s="1" t="n">
        <v>7</v>
      </c>
      <c r="V61" s="1" t="n">
        <v>0.335</v>
      </c>
      <c r="W61" s="1" t="n">
        <v>1</v>
      </c>
      <c r="X61" s="1" t="n">
        <v>35.3</v>
      </c>
      <c r="Y61" s="1" t="n">
        <v>2537</v>
      </c>
      <c r="Z61" s="1" t="n">
        <v>33</v>
      </c>
      <c r="AA61" s="1" t="n">
        <v>1</v>
      </c>
      <c r="AB61" s="1" t="n">
        <v>4</v>
      </c>
      <c r="AC61" s="1" t="n">
        <v>1</v>
      </c>
      <c r="AD61" s="1" t="n">
        <v>17</v>
      </c>
      <c r="AE61" s="1" t="n">
        <v>10.6</v>
      </c>
    </row>
    <row r="62" customFormat="false" ht="12.75" hidden="false" customHeight="false" outlineLevel="0" collapsed="false">
      <c r="A62" s="48" t="s">
        <v>135</v>
      </c>
      <c r="B62" s="1" t="n">
        <v>1</v>
      </c>
      <c r="C62" s="48" t="n">
        <v>28.6</v>
      </c>
      <c r="D62" s="48" t="n">
        <v>23.32</v>
      </c>
      <c r="E62" s="48" t="n">
        <v>1</v>
      </c>
      <c r="F62" s="48" t="n">
        <v>1</v>
      </c>
      <c r="G62" s="48" t="n">
        <v>0.47</v>
      </c>
      <c r="H62" s="48" t="n">
        <v>0.833</v>
      </c>
      <c r="I62" s="48" t="n">
        <v>10</v>
      </c>
      <c r="J62" s="48" t="n">
        <v>60.9</v>
      </c>
      <c r="K62" s="48" t="n">
        <v>10.9</v>
      </c>
      <c r="L62" s="48" t="n">
        <v>0.65</v>
      </c>
      <c r="M62" s="48" t="n">
        <v>12</v>
      </c>
      <c r="N62" s="48" t="n">
        <v>4</v>
      </c>
      <c r="O62" s="48" t="n">
        <v>76.3</v>
      </c>
      <c r="P62" s="48" t="n">
        <v>15.9</v>
      </c>
      <c r="Q62" s="48" t="n">
        <v>0.5719</v>
      </c>
      <c r="R62" s="48" t="n">
        <v>247</v>
      </c>
      <c r="S62" s="48" t="n">
        <v>0.727</v>
      </c>
      <c r="T62" s="1" t="n">
        <v>0.941</v>
      </c>
      <c r="U62" s="1" t="n">
        <v>15.4</v>
      </c>
      <c r="V62" s="1" t="n">
        <v>0.354</v>
      </c>
      <c r="W62" s="1" t="n">
        <v>1</v>
      </c>
      <c r="X62" s="1" t="n">
        <v>34.4</v>
      </c>
      <c r="Y62" s="1" t="n">
        <v>2593</v>
      </c>
      <c r="Z62" s="1" t="n">
        <v>34</v>
      </c>
      <c r="AA62" s="1" t="n">
        <v>1</v>
      </c>
      <c r="AB62" s="1" t="n">
        <v>11</v>
      </c>
      <c r="AC62" s="1" t="n">
        <v>4</v>
      </c>
      <c r="AD62" s="1" t="n">
        <v>19</v>
      </c>
      <c r="AE62" s="1" t="n">
        <v>9</v>
      </c>
    </row>
    <row r="63" customFormat="false" ht="12.75" hidden="false" customHeight="false" outlineLevel="0" collapsed="false">
      <c r="A63" s="48" t="s">
        <v>20</v>
      </c>
      <c r="B63" s="1" t="n">
        <v>1</v>
      </c>
      <c r="C63" s="48" t="n">
        <v>26.8</v>
      </c>
      <c r="D63" s="48" t="n">
        <v>22.62</v>
      </c>
      <c r="E63" s="48" t="n">
        <v>1</v>
      </c>
      <c r="F63" s="48" t="n">
        <v>0</v>
      </c>
      <c r="G63" s="48" t="n">
        <v>0.463</v>
      </c>
      <c r="H63" s="48" t="n">
        <v>0.667</v>
      </c>
      <c r="I63" s="48" t="n">
        <v>8</v>
      </c>
      <c r="J63" s="48" t="n">
        <v>50.7</v>
      </c>
      <c r="K63" s="48" t="n">
        <v>9.5</v>
      </c>
      <c r="L63" s="48" t="n">
        <v>0.681</v>
      </c>
      <c r="M63" s="48" t="n">
        <v>7</v>
      </c>
      <c r="N63" s="48" t="n">
        <v>4.3</v>
      </c>
      <c r="O63" s="48" t="n">
        <v>65.3</v>
      </c>
      <c r="P63" s="48" t="n">
        <v>12.9</v>
      </c>
      <c r="Q63" s="48" t="n">
        <v>0.5742</v>
      </c>
      <c r="R63" s="48" t="n">
        <v>234</v>
      </c>
      <c r="S63" s="48" t="n">
        <v>0.723</v>
      </c>
      <c r="T63" s="1" t="n">
        <v>0.906</v>
      </c>
      <c r="U63" s="1" t="n">
        <v>14.6</v>
      </c>
      <c r="V63" s="1" t="n">
        <v>0.232</v>
      </c>
      <c r="W63" s="1" t="n">
        <v>1</v>
      </c>
      <c r="X63" s="1" t="n">
        <v>36.2</v>
      </c>
      <c r="Y63" s="1" t="n">
        <v>2091</v>
      </c>
      <c r="Z63" s="1" t="n">
        <v>32</v>
      </c>
      <c r="AA63" s="1" t="n">
        <v>0</v>
      </c>
      <c r="AB63" s="1" t="n">
        <v>4</v>
      </c>
      <c r="AC63" s="1" t="n">
        <v>2</v>
      </c>
      <c r="AD63" s="1" t="n">
        <v>18</v>
      </c>
      <c r="AE63" s="1" t="n">
        <v>9.2</v>
      </c>
    </row>
    <row r="64" customFormat="false" ht="12.75" hidden="false" customHeight="false" outlineLevel="0" collapsed="false">
      <c r="A64" s="48" t="s">
        <v>58</v>
      </c>
      <c r="B64" s="1" t="n">
        <v>2</v>
      </c>
      <c r="C64" s="48" t="n">
        <v>15.8</v>
      </c>
      <c r="D64" s="48" t="n">
        <v>16.39</v>
      </c>
      <c r="E64" s="48" t="n">
        <v>1</v>
      </c>
      <c r="F64" s="48" t="n">
        <v>0</v>
      </c>
      <c r="G64" s="48" t="n">
        <v>0.412</v>
      </c>
      <c r="H64" s="48" t="n">
        <v>0.714</v>
      </c>
      <c r="I64" s="48" t="n">
        <v>5</v>
      </c>
      <c r="J64" s="48" t="n">
        <v>66.8</v>
      </c>
      <c r="K64" s="48" t="n">
        <v>13.1</v>
      </c>
      <c r="L64" s="48" t="n">
        <v>0.712</v>
      </c>
      <c r="M64" s="48" t="n">
        <v>8</v>
      </c>
      <c r="N64" s="48" t="n">
        <v>2.8</v>
      </c>
      <c r="O64" s="48" t="n">
        <v>73.9</v>
      </c>
      <c r="P64" s="48" t="n">
        <v>14.5</v>
      </c>
      <c r="Q64" s="48" t="n">
        <v>0.5685</v>
      </c>
      <c r="R64" s="48" t="n">
        <v>163</v>
      </c>
      <c r="S64" s="48" t="n">
        <v>0.66</v>
      </c>
      <c r="T64" s="1" t="n">
        <v>0.719</v>
      </c>
      <c r="U64" s="1" t="n">
        <v>7.1</v>
      </c>
      <c r="V64" s="1" t="n">
        <v>0.27</v>
      </c>
      <c r="W64" s="1" t="n">
        <v>0</v>
      </c>
      <c r="X64" s="1" t="n">
        <v>36.8</v>
      </c>
      <c r="Y64" s="1" t="n">
        <v>2366</v>
      </c>
      <c r="Z64" s="1" t="n">
        <v>32</v>
      </c>
      <c r="AA64" s="1" t="n">
        <v>2</v>
      </c>
      <c r="AB64" s="1" t="n">
        <v>20</v>
      </c>
      <c r="AC64" s="1" t="n">
        <v>6</v>
      </c>
      <c r="AD64" s="1" t="n">
        <v>15</v>
      </c>
      <c r="AE64" s="1" t="n">
        <v>14.4</v>
      </c>
    </row>
    <row r="65" customFormat="false" ht="12.75" hidden="false" customHeight="false" outlineLevel="0" collapsed="false">
      <c r="A65" s="48" t="s">
        <v>210</v>
      </c>
      <c r="B65" s="1" t="n">
        <v>2</v>
      </c>
      <c r="C65" s="48" t="n">
        <v>20.1</v>
      </c>
      <c r="D65" s="48" t="n">
        <v>15.16</v>
      </c>
      <c r="E65" s="48" t="n">
        <v>0</v>
      </c>
      <c r="F65" s="48" t="n">
        <v>0</v>
      </c>
      <c r="G65" s="48" t="n">
        <v>0.446</v>
      </c>
      <c r="H65" s="48" t="n">
        <v>0.6</v>
      </c>
      <c r="I65" s="48" t="n">
        <v>9</v>
      </c>
      <c r="J65" s="48" t="n">
        <v>55.8</v>
      </c>
      <c r="K65" s="48" t="n">
        <v>9.4</v>
      </c>
      <c r="L65" s="48" t="n">
        <v>0.715</v>
      </c>
      <c r="M65" s="48" t="n">
        <v>2</v>
      </c>
      <c r="N65" s="48" t="n">
        <v>3.8</v>
      </c>
      <c r="O65" s="48" t="n">
        <v>68.6</v>
      </c>
      <c r="P65" s="48" t="n">
        <v>13.6</v>
      </c>
      <c r="Q65" s="48" t="n">
        <v>0.5246</v>
      </c>
      <c r="R65" s="48" t="n">
        <v>254</v>
      </c>
      <c r="S65" s="48" t="n">
        <v>0.692</v>
      </c>
      <c r="T65" s="1" t="n">
        <v>0.871</v>
      </c>
      <c r="U65" s="1" t="n">
        <v>12.8</v>
      </c>
      <c r="V65" s="1" t="n">
        <v>0.301</v>
      </c>
      <c r="W65" s="1" t="n">
        <v>1</v>
      </c>
      <c r="X65" s="1" t="n">
        <v>34.9</v>
      </c>
      <c r="Y65" s="1" t="n">
        <v>2231</v>
      </c>
      <c r="Z65" s="1" t="n">
        <v>32</v>
      </c>
      <c r="AA65" s="1" t="n">
        <v>1</v>
      </c>
      <c r="AB65" s="1" t="n">
        <v>10</v>
      </c>
      <c r="AC65" s="1" t="n">
        <v>1</v>
      </c>
      <c r="AD65" s="1" t="n">
        <v>18</v>
      </c>
      <c r="AE65" s="1" t="n">
        <v>9.9</v>
      </c>
    </row>
    <row r="66" customFormat="false" ht="12.75" hidden="false" customHeight="false" outlineLevel="0" collapsed="false">
      <c r="A66" s="48" t="s">
        <v>138</v>
      </c>
      <c r="B66" s="1" t="n">
        <v>5</v>
      </c>
      <c r="C66" s="48" t="n">
        <v>30.4</v>
      </c>
      <c r="D66" s="48" t="n">
        <v>24.99</v>
      </c>
      <c r="E66" s="48" t="n">
        <v>1</v>
      </c>
      <c r="F66" s="48" t="n">
        <v>1</v>
      </c>
      <c r="G66" s="48" t="n">
        <v>0.48</v>
      </c>
      <c r="H66" s="48" t="n">
        <v>0.667</v>
      </c>
      <c r="I66" s="48" t="n">
        <v>9</v>
      </c>
      <c r="J66" s="48" t="n">
        <v>56.1</v>
      </c>
      <c r="K66" s="48" t="n">
        <v>7.4</v>
      </c>
      <c r="L66" s="48" t="n">
        <v>0.738</v>
      </c>
      <c r="M66" s="48" t="n">
        <v>13</v>
      </c>
      <c r="N66" s="48" t="n">
        <v>3.5</v>
      </c>
      <c r="O66" s="48" t="n">
        <v>71.9</v>
      </c>
      <c r="P66" s="48" t="n">
        <v>12.7</v>
      </c>
      <c r="Q66" s="48" t="n">
        <v>0.5845</v>
      </c>
      <c r="R66" s="48" t="n">
        <v>360</v>
      </c>
      <c r="S66" s="48" t="n">
        <v>0.763</v>
      </c>
      <c r="T66" s="1" t="n">
        <v>0.912</v>
      </c>
      <c r="U66" s="1" t="n">
        <v>15.8</v>
      </c>
      <c r="V66" s="1" t="n">
        <v>0.291</v>
      </c>
      <c r="W66" s="1" t="n">
        <v>1</v>
      </c>
      <c r="X66" s="1" t="n">
        <v>33.9</v>
      </c>
      <c r="Y66" s="1" t="n">
        <v>2444</v>
      </c>
      <c r="Z66" s="1" t="n">
        <v>34</v>
      </c>
      <c r="AA66" s="1" t="n">
        <v>1</v>
      </c>
      <c r="AB66" s="1" t="n">
        <v>13</v>
      </c>
      <c r="AC66" s="1" t="n">
        <v>6</v>
      </c>
      <c r="AD66" s="1" t="n">
        <v>18</v>
      </c>
      <c r="AE66" s="1" t="n">
        <v>8.4</v>
      </c>
    </row>
    <row r="67" customFormat="false" ht="12.75" hidden="false" customHeight="false" outlineLevel="0" collapsed="false">
      <c r="A67" s="48" t="s">
        <v>269</v>
      </c>
      <c r="B67" s="1" t="n">
        <v>0</v>
      </c>
      <c r="C67" s="48" t="n">
        <v>5.8</v>
      </c>
      <c r="D67" s="48" t="n">
        <v>2.39</v>
      </c>
      <c r="E67" s="48" t="n">
        <v>0</v>
      </c>
      <c r="F67" s="48" t="n">
        <v>0</v>
      </c>
      <c r="G67" s="48" t="n">
        <v>0.458</v>
      </c>
      <c r="H67" s="48" t="n">
        <v>0.833</v>
      </c>
      <c r="I67" s="48" t="n">
        <v>9</v>
      </c>
      <c r="J67" s="48" t="n">
        <v>59.8</v>
      </c>
      <c r="K67" s="48" t="n">
        <v>10.9</v>
      </c>
      <c r="L67" s="48" t="n">
        <v>0.522</v>
      </c>
      <c r="M67" s="48" t="n">
        <v>1</v>
      </c>
      <c r="N67" s="48" t="n">
        <v>2.5</v>
      </c>
      <c r="O67" s="48" t="n">
        <v>67</v>
      </c>
      <c r="P67" s="48" t="n">
        <v>13.4</v>
      </c>
      <c r="Q67" s="48" t="n">
        <v>0.4815</v>
      </c>
      <c r="R67" s="48" t="n">
        <v>320</v>
      </c>
      <c r="S67" s="48" t="n">
        <v>0.69</v>
      </c>
      <c r="T67" s="1" t="n">
        <v>0.871</v>
      </c>
      <c r="U67" s="1" t="n">
        <v>5.8</v>
      </c>
      <c r="V67" s="1" t="n">
        <v>0.283</v>
      </c>
      <c r="W67" s="1" t="n">
        <v>0</v>
      </c>
      <c r="X67" s="1" t="n">
        <v>32</v>
      </c>
      <c r="Y67" s="1" t="n">
        <v>2278</v>
      </c>
      <c r="Z67" s="1" t="n">
        <v>34</v>
      </c>
      <c r="AA67" s="1" t="n">
        <v>0</v>
      </c>
      <c r="AB67" s="1" t="n">
        <v>3</v>
      </c>
      <c r="AC67" s="1" t="n">
        <v>0</v>
      </c>
      <c r="AD67" s="1" t="n">
        <v>19</v>
      </c>
      <c r="AE67" s="1" t="n">
        <v>7.8</v>
      </c>
    </row>
    <row r="68" customFormat="false" ht="12.75" hidden="false" customHeight="false" outlineLevel="0" collapsed="false">
      <c r="A68" s="48" t="s">
        <v>270</v>
      </c>
      <c r="B68" s="1" t="n">
        <v>0</v>
      </c>
      <c r="C68" s="48" t="n">
        <v>4.8</v>
      </c>
      <c r="D68" s="48" t="n">
        <v>4.38</v>
      </c>
      <c r="E68" s="48" t="n">
        <v>0</v>
      </c>
      <c r="F68" s="48" t="n">
        <v>0</v>
      </c>
      <c r="G68" s="48" t="n">
        <v>0.462</v>
      </c>
      <c r="H68" s="48" t="n">
        <v>0.727</v>
      </c>
      <c r="I68" s="48" t="n">
        <v>6</v>
      </c>
      <c r="J68" s="48" t="n">
        <v>56</v>
      </c>
      <c r="K68" s="48" t="n">
        <v>12.1</v>
      </c>
      <c r="L68" s="48" t="n">
        <v>0.549</v>
      </c>
      <c r="M68" s="48" t="n">
        <v>2</v>
      </c>
      <c r="N68" s="48" t="n">
        <v>2.9</v>
      </c>
      <c r="O68" s="48" t="n">
        <v>81.4</v>
      </c>
      <c r="P68" s="48" t="n">
        <v>14.3</v>
      </c>
      <c r="Q68" s="48" t="n">
        <v>0.4993</v>
      </c>
      <c r="R68" s="48" t="n">
        <v>932</v>
      </c>
      <c r="S68" s="48" t="n">
        <v>0.709</v>
      </c>
      <c r="T68" s="1" t="n">
        <v>0.719</v>
      </c>
      <c r="U68" s="1" t="n">
        <v>4.5</v>
      </c>
      <c r="V68" s="1" t="n">
        <v>0.286</v>
      </c>
      <c r="W68" s="1" t="n">
        <v>0</v>
      </c>
      <c r="X68" s="1" t="n">
        <v>29.8</v>
      </c>
      <c r="Y68" s="1" t="n">
        <v>2097</v>
      </c>
      <c r="Z68" s="1" t="n">
        <v>34</v>
      </c>
      <c r="AA68" s="1" t="n">
        <v>0</v>
      </c>
      <c r="AB68" s="1" t="n">
        <v>0</v>
      </c>
      <c r="AC68" s="1" t="n">
        <v>0</v>
      </c>
      <c r="AD68" s="1" t="n">
        <v>23</v>
      </c>
      <c r="AE68" s="1" t="n">
        <v>5.1</v>
      </c>
    </row>
    <row r="69" customFormat="false" ht="12.75" hidden="false" customHeight="false" outlineLevel="0" collapsed="false">
      <c r="A69" s="48" t="s">
        <v>36</v>
      </c>
      <c r="B69" s="1" t="n">
        <v>2</v>
      </c>
      <c r="C69" s="48" t="n">
        <v>15.8</v>
      </c>
      <c r="D69" s="48" t="n">
        <v>15.27</v>
      </c>
      <c r="E69" s="48" t="n">
        <v>1</v>
      </c>
      <c r="F69" s="48" t="n">
        <v>0</v>
      </c>
      <c r="G69" s="48" t="n">
        <v>0.473</v>
      </c>
      <c r="H69" s="48" t="n">
        <v>0.4</v>
      </c>
      <c r="I69" s="48" t="n">
        <v>6</v>
      </c>
      <c r="J69" s="48" t="n">
        <v>67.6</v>
      </c>
      <c r="K69" s="48" t="n">
        <v>12.1</v>
      </c>
      <c r="L69" s="48" t="n">
        <v>0.653</v>
      </c>
      <c r="M69" s="48" t="n">
        <v>7</v>
      </c>
      <c r="N69" s="48" t="n">
        <v>2.9</v>
      </c>
      <c r="O69" s="48" t="n">
        <v>73.6</v>
      </c>
      <c r="P69" s="48" t="n">
        <v>16.4</v>
      </c>
      <c r="Q69" s="42" t="n">
        <v>0.5759</v>
      </c>
      <c r="R69" s="48" t="n">
        <v>631</v>
      </c>
      <c r="S69" s="48" t="n">
        <v>0.696</v>
      </c>
      <c r="T69" s="1" t="n">
        <v>0.618</v>
      </c>
      <c r="U69" s="1" t="n">
        <v>5.9</v>
      </c>
      <c r="V69" s="1" t="n">
        <v>0.257</v>
      </c>
      <c r="W69" s="1" t="n">
        <v>0</v>
      </c>
      <c r="X69" s="1" t="n">
        <v>34.9</v>
      </c>
      <c r="Y69" s="1" t="n">
        <v>2501</v>
      </c>
      <c r="Z69" s="1" t="n">
        <v>34</v>
      </c>
      <c r="AA69" s="1" t="n">
        <v>0</v>
      </c>
      <c r="AB69" s="1" t="n">
        <v>4</v>
      </c>
      <c r="AC69" s="1" t="n">
        <v>4</v>
      </c>
      <c r="AD69" s="1" t="n">
        <v>16</v>
      </c>
      <c r="AE69" s="1" t="n">
        <v>8.5</v>
      </c>
    </row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B3" activeCellId="0" sqref="B3"/>
    </sheetView>
  </sheetViews>
  <sheetFormatPr defaultRowHeight="12.75" zeroHeight="false" outlineLevelRow="0" outlineLevelCol="0"/>
  <cols>
    <col collapsed="false" customWidth="true" hidden="false" outlineLevel="0" max="1" min="1" style="0" width="24.57"/>
    <col collapsed="false" customWidth="true" hidden="false" outlineLevel="0" max="2" min="2" style="0" width="10.58"/>
    <col collapsed="false" customWidth="true" hidden="false" outlineLevel="0" max="3" min="3" style="0" width="13.7"/>
    <col collapsed="false" customWidth="false" hidden="false" outlineLevel="0" max="4" min="4" style="0" width="11.57"/>
    <col collapsed="false" customWidth="true" hidden="false" outlineLevel="0" max="5" min="5" style="0" width="10.99"/>
    <col collapsed="false" customWidth="true" hidden="false" outlineLevel="0" max="6" min="6" style="0" width="16.87"/>
    <col collapsed="false" customWidth="true" hidden="false" outlineLevel="0" max="7" min="7" style="0" width="30.86"/>
    <col collapsed="false" customWidth="true" hidden="false" outlineLevel="0" max="8" min="8" style="0" width="15.42"/>
    <col collapsed="false" customWidth="true" hidden="false" outlineLevel="0" max="9" min="9" style="0" width="11.86"/>
    <col collapsed="false" customWidth="true" hidden="false" outlineLevel="0" max="12" min="10" style="0" width="17.29"/>
    <col collapsed="false" customWidth="true" hidden="false" outlineLevel="0" max="13" min="13" style="0" width="28.71"/>
    <col collapsed="false" customWidth="true" hidden="false" outlineLevel="0" max="14" min="14" style="0" width="17.59"/>
    <col collapsed="false" customWidth="true" hidden="false" outlineLevel="0" max="30" min="15" style="0" width="17.29"/>
    <col collapsed="false" customWidth="true" hidden="false" outlineLevel="0" max="1025" min="31" style="0" width="14.43"/>
  </cols>
  <sheetData>
    <row r="1" customFormat="false" ht="38.25" hidden="false" customHeight="true" outlineLevel="0" collapsed="false">
      <c r="A1" s="49" t="s">
        <v>271</v>
      </c>
      <c r="B1" s="49" t="s">
        <v>272</v>
      </c>
      <c r="C1" s="49" t="s">
        <v>160</v>
      </c>
      <c r="D1" s="49" t="s">
        <v>273</v>
      </c>
      <c r="E1" s="49" t="s">
        <v>274</v>
      </c>
      <c r="F1" s="49" t="s">
        <v>275</v>
      </c>
      <c r="G1" s="49" t="s">
        <v>276</v>
      </c>
      <c r="H1" s="49" t="s">
        <v>277</v>
      </c>
      <c r="I1" s="49" t="s">
        <v>278</v>
      </c>
      <c r="J1" s="49" t="s">
        <v>279</v>
      </c>
      <c r="K1" s="49" t="s">
        <v>280</v>
      </c>
      <c r="L1" s="49" t="s">
        <v>281</v>
      </c>
      <c r="M1" s="49" t="s">
        <v>282</v>
      </c>
      <c r="N1" s="49" t="s">
        <v>96</v>
      </c>
      <c r="O1" s="1" t="s">
        <v>283</v>
      </c>
      <c r="P1" s="1" t="s">
        <v>284</v>
      </c>
      <c r="Q1" s="49" t="s">
        <v>285</v>
      </c>
      <c r="R1" s="49" t="s">
        <v>286</v>
      </c>
      <c r="S1" s="49" t="s">
        <v>287</v>
      </c>
      <c r="T1" s="49" t="s">
        <v>288</v>
      </c>
      <c r="U1" s="49" t="s">
        <v>289</v>
      </c>
      <c r="V1" s="49" t="s">
        <v>229</v>
      </c>
      <c r="W1" s="49" t="s">
        <v>290</v>
      </c>
      <c r="X1" s="50" t="s">
        <v>291</v>
      </c>
      <c r="Y1" s="50" t="s">
        <v>292</v>
      </c>
      <c r="Z1" s="1" t="s">
        <v>293</v>
      </c>
      <c r="AA1" s="1" t="s">
        <v>158</v>
      </c>
      <c r="AB1" s="1" t="s">
        <v>294</v>
      </c>
      <c r="AC1" s="1" t="s">
        <v>295</v>
      </c>
      <c r="AD1" s="1" t="s">
        <v>296</v>
      </c>
    </row>
    <row r="2" customFormat="false" ht="12.75" hidden="false" customHeight="false" outlineLevel="0" collapsed="false">
      <c r="A2" s="51" t="s">
        <v>297</v>
      </c>
      <c r="B2" s="51"/>
      <c r="C2" s="52" t="s">
        <v>298</v>
      </c>
      <c r="D2" s="51" t="s">
        <v>299</v>
      </c>
      <c r="E2" s="52" t="s">
        <v>300</v>
      </c>
      <c r="F2" s="51" t="s">
        <v>301</v>
      </c>
      <c r="G2" s="51" t="s">
        <v>302</v>
      </c>
      <c r="H2" s="52" t="s">
        <v>303</v>
      </c>
      <c r="I2" s="51" t="s">
        <v>304</v>
      </c>
      <c r="J2" s="52" t="s">
        <v>305</v>
      </c>
      <c r="K2" s="52" t="s">
        <v>305</v>
      </c>
      <c r="L2" s="51" t="s">
        <v>306</v>
      </c>
      <c r="M2" s="52" t="s">
        <v>162</v>
      </c>
      <c r="N2" s="52" t="s">
        <v>165</v>
      </c>
      <c r="P2" s="1" t="s">
        <v>284</v>
      </c>
      <c r="Q2" s="52" t="s">
        <v>307</v>
      </c>
      <c r="R2" s="52" t="s">
        <v>308</v>
      </c>
      <c r="S2" s="52" t="s">
        <v>309</v>
      </c>
      <c r="T2" s="52" t="s">
        <v>310</v>
      </c>
      <c r="U2" s="52" t="s">
        <v>311</v>
      </c>
      <c r="V2" s="52" t="s">
        <v>312</v>
      </c>
      <c r="W2" s="52" t="s">
        <v>313</v>
      </c>
      <c r="X2" s="53" t="s">
        <v>314</v>
      </c>
      <c r="Y2" s="53" t="s">
        <v>314</v>
      </c>
      <c r="Z2" s="2" t="s">
        <v>313</v>
      </c>
      <c r="AA2" s="2" t="s">
        <v>313</v>
      </c>
      <c r="AB2" s="2" t="s">
        <v>313</v>
      </c>
      <c r="AC2" s="2" t="s">
        <v>315</v>
      </c>
      <c r="AD2" s="2" t="s">
        <v>315</v>
      </c>
    </row>
    <row r="3" customFormat="false" ht="13.5" hidden="false" customHeight="true" outlineLevel="0" collapsed="false">
      <c r="A3" s="54" t="s">
        <v>239</v>
      </c>
      <c r="B3" s="1" t="n">
        <v>0</v>
      </c>
      <c r="C3" s="1" t="n">
        <v>0.548</v>
      </c>
      <c r="D3" s="1" t="n">
        <v>0</v>
      </c>
      <c r="E3" s="1" t="n">
        <v>2</v>
      </c>
      <c r="F3" s="1" t="n">
        <v>0</v>
      </c>
      <c r="G3" s="1" t="n">
        <v>-1.4</v>
      </c>
      <c r="H3" s="1" t="n">
        <v>0.167</v>
      </c>
      <c r="I3" s="1" t="n">
        <v>21</v>
      </c>
      <c r="J3" s="1" t="n">
        <v>2113</v>
      </c>
      <c r="K3" s="1" t="n">
        <v>157</v>
      </c>
      <c r="L3" s="1" t="n">
        <f aca="false">K3*3/J3</f>
        <v>0.22290582110743</v>
      </c>
      <c r="M3" s="1" t="n">
        <v>7</v>
      </c>
      <c r="N3" s="1" t="n">
        <v>0.5363</v>
      </c>
      <c r="O3" s="1" t="n">
        <f aca="false">N3*G3</f>
        <v>-0.75082</v>
      </c>
      <c r="P3" s="1" t="n">
        <v>1</v>
      </c>
      <c r="Q3" s="1" t="n">
        <v>65.9</v>
      </c>
      <c r="R3" s="1" t="n">
        <v>63.9</v>
      </c>
      <c r="S3" s="1" t="n">
        <v>0.748</v>
      </c>
      <c r="T3" s="1" t="n">
        <v>10.3</v>
      </c>
      <c r="U3" s="1" t="n">
        <v>34.6</v>
      </c>
      <c r="V3" s="1" t="n">
        <v>1.9</v>
      </c>
      <c r="W3" s="1" t="n">
        <v>0.481</v>
      </c>
      <c r="X3" s="50" t="n">
        <v>318000</v>
      </c>
      <c r="Y3" s="50" t="n">
        <v>233000</v>
      </c>
      <c r="Z3" s="1" t="n">
        <v>4</v>
      </c>
      <c r="AA3" s="1" t="n">
        <v>0</v>
      </c>
      <c r="AB3" s="1" t="n">
        <v>0</v>
      </c>
      <c r="AC3" s="1" t="n">
        <v>12.7</v>
      </c>
      <c r="AD3" s="1" t="n">
        <v>3</v>
      </c>
    </row>
    <row r="4" customFormat="false" ht="12.75" hidden="false" customHeight="false" outlineLevel="0" collapsed="false">
      <c r="A4" s="1" t="s">
        <v>316</v>
      </c>
      <c r="B4" s="1" t="n">
        <v>0</v>
      </c>
      <c r="C4" s="1" t="n">
        <v>0.625</v>
      </c>
      <c r="D4" s="1" t="n">
        <v>0</v>
      </c>
      <c r="E4" s="1" t="n">
        <v>5.34</v>
      </c>
      <c r="F4" s="1" t="n">
        <v>0</v>
      </c>
      <c r="G4" s="1" t="n">
        <v>-10.6</v>
      </c>
      <c r="H4" s="1" t="n">
        <v>0.4</v>
      </c>
      <c r="I4" s="1" t="n">
        <v>17</v>
      </c>
      <c r="J4" s="1" t="n">
        <v>2046</v>
      </c>
      <c r="K4" s="1" t="n">
        <v>203</v>
      </c>
      <c r="L4" s="1" t="n">
        <f aca="false">K4*3/J4</f>
        <v>0.297653958944282</v>
      </c>
      <c r="M4" s="1" t="n">
        <v>7</v>
      </c>
      <c r="N4" s="1" t="n">
        <v>0.5428</v>
      </c>
      <c r="O4" s="1" t="n">
        <f aca="false">N4*G4</f>
        <v>-5.75368</v>
      </c>
      <c r="P4" s="1" t="n">
        <v>0</v>
      </c>
      <c r="Q4" s="1" t="n">
        <v>63.1</v>
      </c>
      <c r="R4" s="1" t="n">
        <v>59.1</v>
      </c>
      <c r="S4" s="1" t="n">
        <v>0.71</v>
      </c>
      <c r="T4" s="1" t="n">
        <v>7.1</v>
      </c>
      <c r="U4" s="1" t="n">
        <v>29.9</v>
      </c>
      <c r="V4" s="1" t="n">
        <v>3.9</v>
      </c>
      <c r="W4" s="1" t="n">
        <v>0.606</v>
      </c>
      <c r="X4" s="50"/>
      <c r="Y4" s="50"/>
      <c r="Z4" s="1" t="n">
        <v>1</v>
      </c>
      <c r="AA4" s="1" t="n">
        <v>0</v>
      </c>
      <c r="AB4" s="1" t="n">
        <v>0</v>
      </c>
      <c r="AC4" s="1" t="n">
        <v>14</v>
      </c>
      <c r="AD4" s="1" t="n">
        <v>3.4</v>
      </c>
    </row>
    <row r="5" customFormat="false" ht="12.75" hidden="false" customHeight="false" outlineLevel="0" collapsed="false">
      <c r="A5" s="1" t="s">
        <v>26</v>
      </c>
      <c r="B5" s="1" t="n">
        <v>3</v>
      </c>
      <c r="C5" s="1" t="n">
        <v>0.882</v>
      </c>
      <c r="D5" s="1" t="n">
        <v>13</v>
      </c>
      <c r="E5" s="1" t="n">
        <v>14.87</v>
      </c>
      <c r="F5" s="1" t="n">
        <v>0</v>
      </c>
      <c r="G5" s="1" t="n">
        <v>26.3</v>
      </c>
      <c r="H5" s="1" t="n">
        <v>0.727</v>
      </c>
      <c r="I5" s="1" t="n">
        <v>12</v>
      </c>
      <c r="J5" s="1" t="n">
        <v>2484</v>
      </c>
      <c r="K5" s="1" t="n">
        <v>180</v>
      </c>
      <c r="L5" s="1" t="n">
        <f aca="false">K5*3/J5</f>
        <v>0.217391304347826</v>
      </c>
      <c r="M5" s="1" t="n">
        <v>7</v>
      </c>
      <c r="N5" s="1" t="n">
        <v>0.5182</v>
      </c>
      <c r="O5" s="1" t="n">
        <f aca="false">N5*G5</f>
        <v>13.62866</v>
      </c>
      <c r="P5" s="1" t="n">
        <v>1</v>
      </c>
      <c r="Q5" s="1" t="n">
        <v>72.9</v>
      </c>
      <c r="R5" s="1" t="n">
        <v>58.6</v>
      </c>
      <c r="S5" s="1" t="n">
        <v>0.655</v>
      </c>
      <c r="T5" s="1" t="n">
        <v>12.6</v>
      </c>
      <c r="U5" s="1" t="n">
        <v>38.3</v>
      </c>
      <c r="V5" s="1" t="n">
        <v>14.3</v>
      </c>
      <c r="W5" s="1" t="n">
        <v>0.742</v>
      </c>
      <c r="X5" s="50" t="n">
        <v>2627806</v>
      </c>
      <c r="Y5" s="50" t="n">
        <v>985000</v>
      </c>
      <c r="Z5" s="1" t="n">
        <v>7</v>
      </c>
      <c r="AA5" s="1" t="n">
        <v>5</v>
      </c>
      <c r="AB5" s="1" t="n">
        <v>0</v>
      </c>
      <c r="AC5" s="1" t="n">
        <v>10.4</v>
      </c>
      <c r="AD5" s="1" t="n">
        <v>4.2</v>
      </c>
    </row>
    <row r="6" customFormat="false" ht="12.75" hidden="false" customHeight="false" outlineLevel="0" collapsed="false">
      <c r="A6" s="1" t="s">
        <v>317</v>
      </c>
      <c r="B6" s="1" t="n">
        <v>0</v>
      </c>
      <c r="C6" s="1" t="n">
        <v>0.656</v>
      </c>
      <c r="D6" s="1" t="n">
        <v>4</v>
      </c>
      <c r="E6" s="1" t="n">
        <v>6.2</v>
      </c>
      <c r="F6" s="1" t="n">
        <v>0</v>
      </c>
      <c r="G6" s="1" t="n">
        <v>12.4</v>
      </c>
      <c r="H6" s="1" t="n">
        <v>0.714</v>
      </c>
      <c r="I6" s="1" t="n">
        <v>16</v>
      </c>
      <c r="J6" s="1" t="n">
        <v>2401</v>
      </c>
      <c r="K6" s="1" t="n">
        <v>260</v>
      </c>
      <c r="L6" s="1" t="n">
        <f aca="false">K6*3/J6</f>
        <v>0.324864639733444</v>
      </c>
      <c r="M6" s="1" t="n">
        <v>5</v>
      </c>
      <c r="N6" s="1" t="n">
        <v>0.4797</v>
      </c>
      <c r="O6" s="1" t="n">
        <f aca="false">N6*G6</f>
        <v>5.94828</v>
      </c>
      <c r="P6" s="1" t="n">
        <v>0</v>
      </c>
      <c r="Q6" s="1" t="n">
        <v>75.3</v>
      </c>
      <c r="R6" s="1" t="n">
        <v>69.4</v>
      </c>
      <c r="S6" s="1" t="n">
        <v>0.694</v>
      </c>
      <c r="T6" s="1" t="n">
        <v>8.4</v>
      </c>
      <c r="U6" s="1" t="n">
        <v>35.6</v>
      </c>
      <c r="V6" s="1" t="n">
        <v>5.9</v>
      </c>
      <c r="W6" s="1" t="n">
        <v>0.586</v>
      </c>
      <c r="X6" s="50" t="n">
        <v>1804500</v>
      </c>
      <c r="Y6" s="50" t="n">
        <v>400000</v>
      </c>
      <c r="Z6" s="1" t="n">
        <v>8</v>
      </c>
      <c r="AA6" s="1" t="n">
        <v>1</v>
      </c>
      <c r="AB6" s="1" t="n">
        <v>0</v>
      </c>
      <c r="AC6" s="1" t="n">
        <v>11.5</v>
      </c>
      <c r="AD6" s="1" t="n">
        <v>5.7</v>
      </c>
    </row>
    <row r="7" customFormat="false" ht="12.75" hidden="false" customHeight="false" outlineLevel="0" collapsed="false">
      <c r="A7" s="1" t="s">
        <v>102</v>
      </c>
      <c r="B7" s="1" t="n">
        <v>2</v>
      </c>
      <c r="C7" s="1" t="n">
        <v>0.686</v>
      </c>
      <c r="D7" s="1" t="n">
        <v>11</v>
      </c>
      <c r="E7" s="1" t="n">
        <v>6.83</v>
      </c>
      <c r="F7" s="1" t="n">
        <v>0</v>
      </c>
      <c r="G7" s="1" t="n">
        <v>16.6</v>
      </c>
      <c r="H7" s="1" t="n">
        <v>0.667</v>
      </c>
      <c r="I7" s="1" t="n">
        <v>20</v>
      </c>
      <c r="J7" s="1" t="n">
        <v>2632</v>
      </c>
      <c r="K7" s="1" t="n">
        <v>265</v>
      </c>
      <c r="L7" s="1" t="n">
        <f aca="false">K7*3/J7</f>
        <v>0.302051671732523</v>
      </c>
      <c r="M7" s="1" t="n">
        <v>8</v>
      </c>
      <c r="N7" s="1" t="n">
        <v>0.4907</v>
      </c>
      <c r="O7" s="1" t="n">
        <f aca="false">N7*G7</f>
        <v>8.14562</v>
      </c>
      <c r="P7" s="1" t="n">
        <v>1</v>
      </c>
      <c r="Q7" s="1" t="n">
        <v>73.5</v>
      </c>
      <c r="R7" s="1" t="n">
        <v>67.8</v>
      </c>
      <c r="S7" s="1" t="n">
        <v>0.673</v>
      </c>
      <c r="T7" s="1" t="n">
        <v>14.3</v>
      </c>
      <c r="U7" s="1" t="n">
        <v>37.9</v>
      </c>
      <c r="V7" s="1" t="n">
        <v>5.7</v>
      </c>
      <c r="W7" s="1" t="n">
        <v>0.584</v>
      </c>
      <c r="X7" s="50" t="n">
        <v>2133120</v>
      </c>
      <c r="Y7" s="50"/>
      <c r="Z7" s="1" t="n">
        <v>4</v>
      </c>
      <c r="AA7" s="1" t="n">
        <v>3</v>
      </c>
      <c r="AB7" s="1" t="n">
        <v>0</v>
      </c>
      <c r="AC7" s="1" t="n">
        <v>11.8</v>
      </c>
      <c r="AD7" s="1" t="n">
        <v>5.6</v>
      </c>
    </row>
    <row r="8" customFormat="false" ht="12.75" hidden="false" customHeight="false" outlineLevel="0" collapsed="false">
      <c r="A8" s="1" t="s">
        <v>242</v>
      </c>
      <c r="B8" s="1" t="n">
        <v>0</v>
      </c>
      <c r="C8" s="1" t="n">
        <v>0.676</v>
      </c>
      <c r="D8" s="1" t="n">
        <v>5</v>
      </c>
      <c r="E8" s="1" t="n">
        <v>7.2</v>
      </c>
      <c r="F8" s="1" t="n">
        <v>0</v>
      </c>
      <c r="G8" s="1" t="n">
        <v>12.5</v>
      </c>
      <c r="H8" s="1" t="n">
        <v>0.571</v>
      </c>
      <c r="I8" s="1" t="n">
        <v>15</v>
      </c>
      <c r="J8" s="1" t="n">
        <v>2863</v>
      </c>
      <c r="K8" s="1" t="n">
        <v>172</v>
      </c>
      <c r="L8" s="1" t="n">
        <f aca="false">K8*3/J8</f>
        <v>0.180230527418791</v>
      </c>
      <c r="M8" s="1" t="n">
        <v>8</v>
      </c>
      <c r="N8" s="1" t="n">
        <v>0.492</v>
      </c>
      <c r="O8" s="1" t="n">
        <f aca="false">N8*G8</f>
        <v>6.15</v>
      </c>
      <c r="P8" s="1" t="n">
        <v>2</v>
      </c>
      <c r="Q8" s="1" t="n">
        <v>83.7</v>
      </c>
      <c r="R8" s="1" t="n">
        <v>77.8</v>
      </c>
      <c r="S8" s="1" t="n">
        <v>0.69</v>
      </c>
      <c r="T8" s="1" t="n">
        <v>13.3</v>
      </c>
      <c r="U8" s="1" t="n">
        <v>40.8</v>
      </c>
      <c r="V8" s="1" t="n">
        <v>5.9</v>
      </c>
      <c r="W8" s="1" t="n">
        <v>0.748</v>
      </c>
      <c r="X8" s="50"/>
      <c r="Y8" s="50"/>
      <c r="Z8" s="1" t="n">
        <v>7</v>
      </c>
      <c r="AA8" s="1" t="n">
        <v>1</v>
      </c>
      <c r="AB8" s="1" t="n">
        <v>0</v>
      </c>
      <c r="AC8" s="1" t="n">
        <v>11.4</v>
      </c>
      <c r="AD8" s="1" t="n">
        <v>3</v>
      </c>
    </row>
    <row r="9" customFormat="false" ht="12.75" hidden="false" customHeight="false" outlineLevel="0" collapsed="false">
      <c r="A9" s="54" t="s">
        <v>318</v>
      </c>
      <c r="B9" s="1" t="n">
        <v>0</v>
      </c>
      <c r="C9" s="1" t="n">
        <v>0.406</v>
      </c>
      <c r="D9" s="1" t="n">
        <v>0</v>
      </c>
      <c r="E9" s="1" t="n">
        <v>-0.22</v>
      </c>
      <c r="F9" s="1" t="n">
        <v>0</v>
      </c>
      <c r="G9" s="1" t="n">
        <v>-1.1</v>
      </c>
      <c r="H9" s="1" t="n">
        <v>0.375</v>
      </c>
      <c r="I9" s="1" t="n">
        <v>18</v>
      </c>
      <c r="J9" s="1" t="n">
        <v>2023</v>
      </c>
      <c r="K9" s="1" t="n">
        <v>207</v>
      </c>
      <c r="L9" s="1" t="n">
        <f aca="false">K9*3/J9</f>
        <v>0.306969846762234</v>
      </c>
      <c r="M9" s="1" t="n">
        <v>5</v>
      </c>
      <c r="N9" s="1" t="n">
        <v>0.4772</v>
      </c>
      <c r="O9" s="1" t="n">
        <f aca="false">N9*G9</f>
        <v>-0.52492</v>
      </c>
      <c r="P9" s="1" t="n">
        <v>0</v>
      </c>
      <c r="Q9" s="1" t="n">
        <v>61.8</v>
      </c>
      <c r="R9" s="1" t="n">
        <v>64.8</v>
      </c>
      <c r="S9" s="1" t="n">
        <v>0.693</v>
      </c>
      <c r="T9" s="1" t="n">
        <v>11.1</v>
      </c>
      <c r="U9" s="1" t="n">
        <v>31.5</v>
      </c>
      <c r="V9" s="1" t="n">
        <v>-3</v>
      </c>
      <c r="W9" s="1" t="n">
        <v>0.481</v>
      </c>
      <c r="X9" s="50" t="n">
        <v>240813</v>
      </c>
      <c r="Y9" s="50" t="n">
        <v>96500</v>
      </c>
      <c r="Z9" s="1" t="n">
        <v>1</v>
      </c>
      <c r="AA9" s="1" t="n">
        <v>0</v>
      </c>
      <c r="AB9" s="1" t="n">
        <v>0</v>
      </c>
      <c r="AC9" s="1" t="n">
        <v>9</v>
      </c>
      <c r="AD9" s="1" t="n">
        <v>2.8</v>
      </c>
    </row>
    <row r="10" customFormat="false" ht="12.75" hidden="false" customHeight="false" outlineLevel="0" collapsed="false">
      <c r="A10" s="1" t="s">
        <v>34</v>
      </c>
      <c r="B10" s="1" t="n">
        <v>0</v>
      </c>
      <c r="C10" s="1" t="n">
        <v>0.818</v>
      </c>
      <c r="D10" s="1" t="n">
        <v>7</v>
      </c>
      <c r="E10" s="1" t="n">
        <v>10.41</v>
      </c>
      <c r="F10" s="1" t="n">
        <v>0</v>
      </c>
      <c r="G10" s="1" t="n">
        <v>16.5</v>
      </c>
      <c r="H10" s="1" t="n">
        <v>0.8</v>
      </c>
      <c r="I10" s="1" t="n">
        <v>17</v>
      </c>
      <c r="J10" s="1" t="n">
        <v>2268</v>
      </c>
      <c r="K10" s="1" t="n">
        <v>192</v>
      </c>
      <c r="L10" s="1" t="n">
        <f aca="false">K10*3/J10</f>
        <v>0.253968253968254</v>
      </c>
      <c r="M10" s="1" t="n">
        <v>6</v>
      </c>
      <c r="N10" s="1" t="n">
        <v>0.4476</v>
      </c>
      <c r="O10" s="1" t="n">
        <f aca="false">N10*G10</f>
        <v>7.3854</v>
      </c>
      <c r="P10" s="1" t="n">
        <v>3</v>
      </c>
      <c r="Q10" s="1" t="n">
        <v>68.4</v>
      </c>
      <c r="R10" s="1" t="n">
        <v>58.4</v>
      </c>
      <c r="S10" s="1" t="n">
        <v>0.709</v>
      </c>
      <c r="T10" s="1" t="n">
        <v>13.4</v>
      </c>
      <c r="U10" s="1" t="n">
        <v>36</v>
      </c>
      <c r="V10" s="1" t="n">
        <v>10</v>
      </c>
      <c r="W10" s="1" t="n">
        <v>0.638</v>
      </c>
      <c r="X10" s="50" t="n">
        <v>1552205</v>
      </c>
      <c r="Y10" s="50" t="n">
        <v>670000</v>
      </c>
      <c r="Z10" s="1" t="n">
        <v>6</v>
      </c>
      <c r="AA10" s="1" t="n">
        <v>1</v>
      </c>
      <c r="AB10" s="1" t="n">
        <v>0</v>
      </c>
      <c r="AC10" s="1" t="n">
        <v>11.1</v>
      </c>
      <c r="AD10" s="1" t="n">
        <v>5.5</v>
      </c>
    </row>
    <row r="11" customFormat="false" ht="12.75" hidden="false" customHeight="false" outlineLevel="0" collapsed="false">
      <c r="A11" s="1" t="s">
        <v>243</v>
      </c>
      <c r="B11" s="1" t="n">
        <v>0</v>
      </c>
      <c r="C11" s="1" t="n">
        <v>0.636</v>
      </c>
      <c r="D11" s="1" t="n">
        <v>0</v>
      </c>
      <c r="E11" s="1" t="n">
        <v>4.3</v>
      </c>
      <c r="F11" s="1" t="n">
        <v>0</v>
      </c>
      <c r="G11" s="1" t="n">
        <v>-5</v>
      </c>
      <c r="H11" s="1" t="n">
        <v>0.615</v>
      </c>
      <c r="I11" s="1" t="n">
        <v>15</v>
      </c>
      <c r="J11" s="1" t="n">
        <v>2268</v>
      </c>
      <c r="K11" s="1" t="n">
        <v>203</v>
      </c>
      <c r="L11" s="1" t="n">
        <f aca="false">K11*3/J11</f>
        <v>0.268518518518519</v>
      </c>
      <c r="M11" s="1" t="n">
        <v>8</v>
      </c>
      <c r="N11" s="1" t="n">
        <v>0.4797</v>
      </c>
      <c r="O11" s="1" t="n">
        <f aca="false">N11*G11</f>
        <v>-2.3985</v>
      </c>
      <c r="P11" s="1" t="n">
        <v>0</v>
      </c>
      <c r="Q11" s="1" t="n">
        <v>70.2</v>
      </c>
      <c r="R11" s="1" t="n">
        <v>69.1</v>
      </c>
      <c r="S11" s="1" t="n">
        <v>0.694</v>
      </c>
      <c r="T11" s="1" t="n">
        <v>13</v>
      </c>
      <c r="U11" s="1" t="n">
        <v>38.5</v>
      </c>
      <c r="V11" s="1" t="n">
        <v>1.1</v>
      </c>
      <c r="W11" s="1" t="n">
        <v>0.611</v>
      </c>
      <c r="X11" s="50" t="n">
        <v>275098</v>
      </c>
      <c r="Y11" s="50" t="n">
        <v>0</v>
      </c>
      <c r="Z11" s="1" t="n">
        <v>9</v>
      </c>
      <c r="AA11" s="1" t="n">
        <v>3</v>
      </c>
      <c r="AB11" s="1" t="n">
        <v>0</v>
      </c>
      <c r="AC11" s="1" t="n">
        <v>14.1</v>
      </c>
      <c r="AD11" s="1" t="n">
        <v>2.8</v>
      </c>
    </row>
    <row r="12" customFormat="false" ht="12.75" hidden="false" customHeight="false" outlineLevel="0" collapsed="false">
      <c r="A12" s="1" t="s">
        <v>181</v>
      </c>
      <c r="B12" s="1" t="n">
        <v>0</v>
      </c>
      <c r="C12" s="1" t="n">
        <v>0.676</v>
      </c>
      <c r="D12" s="1" t="n">
        <v>5</v>
      </c>
      <c r="E12" s="1" t="n">
        <v>2.91</v>
      </c>
      <c r="F12" s="1" t="n">
        <v>0</v>
      </c>
      <c r="G12" s="1" t="n">
        <v>9.7</v>
      </c>
      <c r="H12" s="1" t="n">
        <v>0.818</v>
      </c>
      <c r="I12" s="1" t="n">
        <v>11</v>
      </c>
      <c r="J12" s="1" t="n">
        <v>2409</v>
      </c>
      <c r="K12" s="1" t="n">
        <v>177</v>
      </c>
      <c r="L12" s="1" t="n">
        <f aca="false">K12*3/J12</f>
        <v>0.220423412204234</v>
      </c>
      <c r="M12" s="1" t="n">
        <v>5</v>
      </c>
      <c r="N12" s="1" t="n">
        <v>0.4662</v>
      </c>
      <c r="O12" s="1" t="n">
        <f aca="false">N12*G12</f>
        <v>4.52214</v>
      </c>
      <c r="P12" s="1" t="n">
        <v>1</v>
      </c>
      <c r="Q12" s="1" t="n">
        <v>70.2</v>
      </c>
      <c r="R12" s="1" t="n">
        <v>68.2</v>
      </c>
      <c r="S12" s="1" t="n">
        <v>0.716</v>
      </c>
      <c r="T12" s="1" t="n">
        <v>11.6</v>
      </c>
      <c r="U12" s="1" t="n">
        <v>37.3</v>
      </c>
      <c r="V12" s="1" t="n">
        <v>2</v>
      </c>
      <c r="W12" s="1" t="n">
        <v>0.561</v>
      </c>
      <c r="X12" s="50" t="n">
        <v>1427500</v>
      </c>
      <c r="Y12" s="50" t="n">
        <v>1550000</v>
      </c>
      <c r="Z12" s="1" t="n">
        <v>3</v>
      </c>
      <c r="AA12" s="1" t="n">
        <v>0</v>
      </c>
      <c r="AB12" s="1" t="n">
        <v>0</v>
      </c>
      <c r="AC12" s="1" t="n">
        <v>13.2</v>
      </c>
      <c r="AD12" s="1" t="n">
        <v>3.4</v>
      </c>
    </row>
    <row r="13" customFormat="false" ht="12.75" hidden="false" customHeight="false" outlineLevel="0" collapsed="false">
      <c r="A13" s="1" t="s">
        <v>182</v>
      </c>
      <c r="B13" s="1" t="n">
        <v>6</v>
      </c>
      <c r="C13" s="1" t="n">
        <v>0.765</v>
      </c>
      <c r="D13" s="1" t="n">
        <v>7</v>
      </c>
      <c r="E13" s="1" t="n">
        <v>8.71</v>
      </c>
      <c r="F13" s="1" t="n">
        <v>0</v>
      </c>
      <c r="G13" s="1" t="n">
        <v>16.6</v>
      </c>
      <c r="H13" s="1" t="n">
        <v>0.727</v>
      </c>
      <c r="I13" s="1" t="n">
        <v>19</v>
      </c>
      <c r="J13" s="1" t="n">
        <v>2443</v>
      </c>
      <c r="K13" s="1" t="n">
        <v>242</v>
      </c>
      <c r="L13" s="1" t="n">
        <f aca="false">K13*3/J13</f>
        <v>0.297175603765862</v>
      </c>
      <c r="M13" s="1" t="n">
        <v>7</v>
      </c>
      <c r="N13" s="1" t="n">
        <v>0.472</v>
      </c>
      <c r="O13" s="1" t="n">
        <f aca="false">N13*G13</f>
        <v>7.8352</v>
      </c>
      <c r="P13" s="1" t="n">
        <v>2</v>
      </c>
      <c r="Q13" s="1" t="n">
        <v>72.1</v>
      </c>
      <c r="R13" s="1" t="n">
        <v>63.5</v>
      </c>
      <c r="S13" s="1" t="n">
        <v>0.761</v>
      </c>
      <c r="T13" s="1" t="n">
        <v>10.1</v>
      </c>
      <c r="U13" s="1" t="n">
        <v>34.9</v>
      </c>
      <c r="V13" s="1" t="n">
        <v>8.7</v>
      </c>
      <c r="W13" s="1" t="n">
        <v>0.743</v>
      </c>
      <c r="X13" s="50" t="n">
        <v>1250000</v>
      </c>
      <c r="Y13" s="50" t="n">
        <v>309999</v>
      </c>
      <c r="Z13" s="1" t="n">
        <v>1</v>
      </c>
      <c r="AA13" s="1" t="n">
        <v>1</v>
      </c>
      <c r="AB13" s="1" t="n">
        <v>1</v>
      </c>
      <c r="AC13" s="1" t="n">
        <v>11.7</v>
      </c>
      <c r="AD13" s="1" t="n">
        <v>6.2</v>
      </c>
    </row>
    <row r="14" customFormat="false" ht="12.75" hidden="false" customHeight="false" outlineLevel="0" collapsed="false">
      <c r="A14" s="1" t="s">
        <v>22</v>
      </c>
      <c r="B14" s="1" t="n">
        <v>1</v>
      </c>
      <c r="C14" s="1" t="n">
        <v>0.788</v>
      </c>
      <c r="D14" s="1" t="n">
        <v>9</v>
      </c>
      <c r="E14" s="1" t="n">
        <v>12.09</v>
      </c>
      <c r="F14" s="1" t="n">
        <v>0</v>
      </c>
      <c r="G14" s="1" t="n">
        <v>23.1</v>
      </c>
      <c r="H14" s="1" t="n">
        <v>0.8</v>
      </c>
      <c r="I14" s="1" t="n">
        <v>22</v>
      </c>
      <c r="J14" s="1" t="n">
        <v>2625</v>
      </c>
      <c r="K14" s="1" t="n">
        <v>342</v>
      </c>
      <c r="L14" s="1" t="n">
        <f aca="false">K14*3/J14</f>
        <v>0.390857142857143</v>
      </c>
      <c r="M14" s="1" t="n">
        <v>7</v>
      </c>
      <c r="N14" s="1" t="n">
        <v>0.4763</v>
      </c>
      <c r="O14" s="1" t="n">
        <f aca="false">N14*G14</f>
        <v>11.00253</v>
      </c>
      <c r="P14" s="1" t="n">
        <v>2</v>
      </c>
      <c r="Q14" s="1" t="n">
        <v>78.7</v>
      </c>
      <c r="R14" s="1" t="n">
        <v>67.9</v>
      </c>
      <c r="S14" s="1" t="n">
        <v>0.752</v>
      </c>
      <c r="T14" s="1" t="n">
        <v>8.5</v>
      </c>
      <c r="U14" s="1" t="n">
        <v>34.1</v>
      </c>
      <c r="V14" s="1" t="n">
        <v>10.9</v>
      </c>
      <c r="W14" s="1" t="n">
        <v>0.602</v>
      </c>
      <c r="X14" s="50" t="n">
        <v>945725</v>
      </c>
      <c r="Y14" s="50"/>
      <c r="Z14" s="1" t="n">
        <v>6</v>
      </c>
      <c r="AA14" s="1" t="n">
        <v>0</v>
      </c>
      <c r="AB14" s="1" t="n">
        <v>0</v>
      </c>
      <c r="AC14" s="1" t="n">
        <v>9.9</v>
      </c>
      <c r="AD14" s="1" t="n">
        <v>1.4</v>
      </c>
    </row>
    <row r="15" customFormat="false" ht="12.75" hidden="false" customHeight="false" outlineLevel="0" collapsed="false">
      <c r="A15" s="1" t="s">
        <v>103</v>
      </c>
      <c r="B15" s="1" t="n">
        <v>3</v>
      </c>
      <c r="C15" s="1" t="n">
        <v>0.697</v>
      </c>
      <c r="D15" s="1" t="n">
        <v>4</v>
      </c>
      <c r="E15" s="1" t="n">
        <v>5.73</v>
      </c>
      <c r="F15" s="1" t="n">
        <v>0</v>
      </c>
      <c r="G15" s="1" t="n">
        <v>12</v>
      </c>
      <c r="H15" s="1" t="n">
        <v>0.6</v>
      </c>
      <c r="I15" s="1" t="n">
        <v>17</v>
      </c>
      <c r="J15" s="1" t="n">
        <v>2422</v>
      </c>
      <c r="K15" s="1" t="n">
        <v>217</v>
      </c>
      <c r="L15" s="1" t="n">
        <f aca="false">K15*3/J15</f>
        <v>0.26878612716763</v>
      </c>
      <c r="M15" s="1" t="n">
        <v>8</v>
      </c>
      <c r="N15" s="1" t="n">
        <v>0.4633</v>
      </c>
      <c r="O15" s="1" t="n">
        <f aca="false">N15*G15</f>
        <v>5.5596</v>
      </c>
      <c r="P15" s="1" t="n">
        <v>0</v>
      </c>
      <c r="Q15" s="1" t="n">
        <v>72.2</v>
      </c>
      <c r="R15" s="1" t="n">
        <v>67</v>
      </c>
      <c r="S15" s="1" t="n">
        <v>0.681</v>
      </c>
      <c r="T15" s="1" t="n">
        <v>11.6</v>
      </c>
      <c r="U15" s="1" t="n">
        <v>34.8</v>
      </c>
      <c r="V15" s="1" t="n">
        <v>5.2</v>
      </c>
      <c r="W15" s="1" t="n">
        <v>0.624</v>
      </c>
      <c r="X15" s="50" t="n">
        <v>335152</v>
      </c>
      <c r="Y15" s="50"/>
      <c r="Z15" s="1" t="n">
        <v>1</v>
      </c>
      <c r="AA15" s="1" t="n">
        <v>1</v>
      </c>
      <c r="AB15" s="1" t="n">
        <v>0</v>
      </c>
      <c r="AC15" s="1" t="n">
        <v>12</v>
      </c>
      <c r="AD15" s="1" t="n">
        <v>2.6</v>
      </c>
    </row>
    <row r="16" customFormat="false" ht="12.75" hidden="false" customHeight="false" outlineLevel="0" collapsed="false">
      <c r="A16" s="1" t="s">
        <v>319</v>
      </c>
      <c r="B16" s="1" t="n">
        <v>0</v>
      </c>
      <c r="C16" s="1" t="n">
        <v>0.735</v>
      </c>
      <c r="D16" s="1" t="n">
        <v>1</v>
      </c>
      <c r="E16" s="1" t="n">
        <v>4.4</v>
      </c>
      <c r="F16" s="1" t="n">
        <v>0</v>
      </c>
      <c r="G16" s="1" t="n">
        <v>5.5</v>
      </c>
      <c r="H16" s="1" t="n">
        <v>0.667</v>
      </c>
      <c r="I16" s="1" t="n">
        <v>19</v>
      </c>
      <c r="J16" s="1" t="n">
        <v>2555</v>
      </c>
      <c r="K16" s="1" t="n">
        <v>244</v>
      </c>
      <c r="L16" s="1" t="n">
        <f aca="false">K16*3/J16</f>
        <v>0.286497064579256</v>
      </c>
      <c r="M16" s="1" t="n">
        <v>8</v>
      </c>
      <c r="N16" s="1" t="n">
        <v>0.4497</v>
      </c>
      <c r="O16" s="1" t="n">
        <f aca="false">N16*G16</f>
        <v>2.47335</v>
      </c>
      <c r="P16" s="1" t="n">
        <v>0</v>
      </c>
      <c r="Q16" s="1" t="n">
        <v>79.5</v>
      </c>
      <c r="R16" s="1" t="n">
        <v>75.7</v>
      </c>
      <c r="S16" s="1" t="n">
        <v>0.709</v>
      </c>
      <c r="T16" s="1" t="n">
        <v>11.1</v>
      </c>
      <c r="U16" s="1" t="n">
        <v>36.1</v>
      </c>
      <c r="V16" s="1" t="n">
        <v>3.8</v>
      </c>
      <c r="W16" s="1" t="n">
        <v>0.449</v>
      </c>
      <c r="X16" s="50"/>
      <c r="Y16" s="50"/>
      <c r="Z16" s="1" t="n">
        <v>1</v>
      </c>
      <c r="AA16" s="1" t="n">
        <v>0</v>
      </c>
      <c r="AB16" s="1" t="n">
        <v>0</v>
      </c>
      <c r="AC16" s="1" t="n">
        <v>9.6</v>
      </c>
      <c r="AD16" s="1" t="n">
        <v>3.6</v>
      </c>
    </row>
    <row r="17" customFormat="false" ht="12.75" hidden="false" customHeight="false" outlineLevel="0" collapsed="false">
      <c r="A17" s="1" t="s">
        <v>86</v>
      </c>
      <c r="B17" s="1" t="n">
        <v>0</v>
      </c>
      <c r="C17" s="1" t="n">
        <v>0.765</v>
      </c>
      <c r="D17" s="1" t="n">
        <v>8</v>
      </c>
      <c r="E17" s="1" t="n">
        <v>11.58</v>
      </c>
      <c r="F17" s="1" t="n">
        <v>0</v>
      </c>
      <c r="G17" s="1" t="n">
        <v>23.6</v>
      </c>
      <c r="H17" s="1" t="n">
        <v>0.667</v>
      </c>
      <c r="I17" s="1" t="n">
        <v>14</v>
      </c>
      <c r="J17" s="1" t="n">
        <v>2674</v>
      </c>
      <c r="K17" s="1" t="n">
        <v>301</v>
      </c>
      <c r="L17" s="1" t="n">
        <f aca="false">K17*3/J17</f>
        <v>0.337696335078534</v>
      </c>
      <c r="M17" s="1" t="n">
        <v>7</v>
      </c>
      <c r="N17" s="1" t="n">
        <v>0.5316</v>
      </c>
      <c r="O17" s="1" t="n">
        <f aca="false">N17*G17</f>
        <v>12.54576</v>
      </c>
      <c r="P17" s="1" t="n">
        <v>3</v>
      </c>
      <c r="Q17" s="1" t="n">
        <v>78.4</v>
      </c>
      <c r="R17" s="1" t="n">
        <v>67.4</v>
      </c>
      <c r="S17" s="1" t="n">
        <v>0.727</v>
      </c>
      <c r="T17" s="1" t="n">
        <v>11.9</v>
      </c>
      <c r="U17" s="1" t="n">
        <v>34.9</v>
      </c>
      <c r="V17" s="1" t="n">
        <v>11</v>
      </c>
      <c r="W17" s="1" t="n">
        <v>0.753</v>
      </c>
      <c r="X17" s="50" t="n">
        <v>9682032</v>
      </c>
      <c r="Y17" s="50"/>
      <c r="Z17" s="1" t="n">
        <v>30</v>
      </c>
      <c r="AA17" s="1" t="n">
        <v>21</v>
      </c>
      <c r="AB17" s="1" t="n">
        <v>11</v>
      </c>
      <c r="AC17" s="1" t="n">
        <v>9.5</v>
      </c>
      <c r="AD17" s="1" t="n">
        <v>3.1</v>
      </c>
    </row>
    <row r="18" customFormat="false" ht="12.75" hidden="false" customHeight="false" outlineLevel="0" collapsed="false">
      <c r="A18" s="1" t="s">
        <v>320</v>
      </c>
      <c r="B18" s="1" t="n">
        <v>0</v>
      </c>
      <c r="C18" s="1" t="n">
        <v>0.727</v>
      </c>
      <c r="D18" s="1" t="n">
        <v>0</v>
      </c>
      <c r="E18" s="1" t="n">
        <v>8.4</v>
      </c>
      <c r="F18" s="1" t="n">
        <v>0</v>
      </c>
      <c r="G18" s="1" t="n">
        <v>3.9</v>
      </c>
      <c r="H18" s="1" t="n">
        <v>0.667</v>
      </c>
      <c r="I18" s="1" t="n">
        <v>22</v>
      </c>
      <c r="J18" s="1" t="n">
        <v>2608</v>
      </c>
      <c r="K18" s="1" t="n">
        <v>303</v>
      </c>
      <c r="L18" s="1" t="n">
        <f aca="false">K18*3/J18</f>
        <v>0.348542944785276</v>
      </c>
      <c r="M18" s="1" t="n">
        <v>8</v>
      </c>
      <c r="N18" s="1" t="n">
        <v>0.4085</v>
      </c>
      <c r="O18" s="1" t="n">
        <f aca="false">N18*G18</f>
        <v>1.59315</v>
      </c>
      <c r="P18" s="1" t="n">
        <v>0</v>
      </c>
      <c r="Q18" s="1" t="n">
        <v>77.1</v>
      </c>
      <c r="R18" s="1" t="n">
        <v>72.2</v>
      </c>
      <c r="S18" s="1" t="n">
        <v>0.751</v>
      </c>
      <c r="T18" s="1" t="n">
        <v>7.1</v>
      </c>
      <c r="U18" s="1" t="n">
        <v>25.5</v>
      </c>
      <c r="V18" s="1" t="n">
        <v>4.9</v>
      </c>
      <c r="W18" s="1" t="n">
        <v>0.578</v>
      </c>
      <c r="X18" s="50" t="n">
        <v>269630</v>
      </c>
      <c r="Y18" s="50" t="n">
        <v>96668</v>
      </c>
      <c r="Z18" s="1" t="n">
        <v>2</v>
      </c>
      <c r="AA18" s="1" t="n">
        <v>0</v>
      </c>
      <c r="AB18" s="1" t="n">
        <v>0</v>
      </c>
      <c r="AC18" s="1" t="n">
        <v>10.7</v>
      </c>
      <c r="AD18" s="1" t="n">
        <v>2</v>
      </c>
    </row>
    <row r="19" customFormat="false" ht="12.75" hidden="false" customHeight="false" outlineLevel="0" collapsed="false">
      <c r="A19" s="1" t="s">
        <v>62</v>
      </c>
      <c r="B19" s="1" t="n">
        <v>4</v>
      </c>
      <c r="C19" s="1" t="n">
        <v>0.941</v>
      </c>
      <c r="D19" s="1" t="n">
        <v>8</v>
      </c>
      <c r="E19" s="1" t="n">
        <v>12.76</v>
      </c>
      <c r="F19" s="1" t="n">
        <v>1</v>
      </c>
      <c r="G19" s="1" t="n">
        <v>26.1</v>
      </c>
      <c r="H19" s="1" t="n">
        <v>0.857</v>
      </c>
      <c r="I19" s="1" t="n">
        <v>16</v>
      </c>
      <c r="J19" s="1" t="n">
        <v>2405</v>
      </c>
      <c r="K19" s="1" t="n">
        <v>233</v>
      </c>
      <c r="L19" s="1" t="n">
        <f aca="false">K19*3/J19</f>
        <v>0.290644490644491</v>
      </c>
      <c r="M19" s="1" t="n">
        <v>10</v>
      </c>
      <c r="N19" s="1" t="n">
        <v>0.5455</v>
      </c>
      <c r="O19" s="1" t="n">
        <f aca="false">N19*G19</f>
        <v>14.23755</v>
      </c>
      <c r="P19" s="1" t="n">
        <v>1</v>
      </c>
      <c r="Q19" s="1" t="n">
        <v>69.9</v>
      </c>
      <c r="R19" s="1" t="n">
        <v>57.8</v>
      </c>
      <c r="S19" s="1" t="n">
        <v>0.666</v>
      </c>
      <c r="T19" s="1" t="n">
        <v>11.6</v>
      </c>
      <c r="U19" s="1" t="n">
        <v>35.6</v>
      </c>
      <c r="V19" s="1" t="n">
        <v>12.2</v>
      </c>
      <c r="W19" s="1" t="n">
        <v>0.72</v>
      </c>
      <c r="X19" s="50" t="n">
        <v>3905964</v>
      </c>
      <c r="Y19" s="50" t="n">
        <v>454000</v>
      </c>
      <c r="Z19" s="1" t="n">
        <v>14</v>
      </c>
      <c r="AA19" s="1" t="n">
        <v>8</v>
      </c>
      <c r="AB19" s="1" t="n">
        <v>4</v>
      </c>
      <c r="AC19" s="1" t="n">
        <v>11.3</v>
      </c>
      <c r="AD19" s="1" t="n">
        <v>2.9</v>
      </c>
    </row>
    <row r="20" customFormat="false" ht="12.75" hidden="false" customHeight="false" outlineLevel="0" collapsed="false">
      <c r="A20" s="1" t="s">
        <v>321</v>
      </c>
      <c r="B20" s="1" t="n">
        <v>0</v>
      </c>
      <c r="C20" s="1" t="n">
        <v>0.75</v>
      </c>
      <c r="D20" s="1" t="n">
        <v>5</v>
      </c>
      <c r="E20" s="1" t="n">
        <v>6.5</v>
      </c>
      <c r="F20" s="1" t="n">
        <v>0</v>
      </c>
      <c r="G20" s="1" t="n">
        <v>12.6</v>
      </c>
      <c r="H20" s="1" t="n">
        <v>0.75</v>
      </c>
      <c r="I20" s="1" t="n">
        <v>18</v>
      </c>
      <c r="J20" s="1" t="n">
        <v>2349</v>
      </c>
      <c r="K20" s="1" t="n">
        <v>185</v>
      </c>
      <c r="L20" s="1" t="n">
        <f aca="false">K20*3/J20</f>
        <v>0.236270753512133</v>
      </c>
      <c r="M20" s="1" t="n">
        <v>6</v>
      </c>
      <c r="N20" s="1" t="n">
        <v>0.5794</v>
      </c>
      <c r="O20" s="1" t="n">
        <f aca="false">N20*G20</f>
        <v>7.30044</v>
      </c>
      <c r="P20" s="1" t="n">
        <v>0</v>
      </c>
      <c r="Q20" s="1" t="n">
        <v>73.2</v>
      </c>
      <c r="R20" s="1" t="n">
        <v>67</v>
      </c>
      <c r="S20" s="1" t="n">
        <v>0.654</v>
      </c>
      <c r="T20" s="1" t="n">
        <v>11.8</v>
      </c>
      <c r="U20" s="1" t="n">
        <v>37.2</v>
      </c>
      <c r="V20" s="1" t="n">
        <v>6.2</v>
      </c>
      <c r="W20" s="1" t="n">
        <v>0.601</v>
      </c>
      <c r="X20" s="50"/>
      <c r="Y20" s="50"/>
      <c r="Z20" s="1" t="n">
        <v>2</v>
      </c>
      <c r="AA20" s="1" t="n">
        <v>0</v>
      </c>
      <c r="AB20" s="1" t="n">
        <v>0</v>
      </c>
      <c r="AC20" s="1" t="n">
        <v>13.1</v>
      </c>
      <c r="AD20" s="1" t="n">
        <v>4.2</v>
      </c>
    </row>
    <row r="21" customFormat="false" ht="12.75" hidden="false" customHeight="false" outlineLevel="0" collapsed="false">
      <c r="A21" s="1" t="s">
        <v>43</v>
      </c>
      <c r="B21" s="1" t="n">
        <v>1</v>
      </c>
      <c r="C21" s="1" t="n">
        <v>0.824</v>
      </c>
      <c r="D21" s="1" t="n">
        <v>3</v>
      </c>
      <c r="E21" s="1" t="n">
        <v>11.9</v>
      </c>
      <c r="F21" s="1" t="n">
        <v>0</v>
      </c>
      <c r="G21" s="1" t="n">
        <v>17.9</v>
      </c>
      <c r="H21" s="1" t="n">
        <v>0.714</v>
      </c>
      <c r="I21" s="1" t="n">
        <v>18</v>
      </c>
      <c r="J21" s="1" t="n">
        <v>2615</v>
      </c>
      <c r="K21" s="1" t="n">
        <v>240</v>
      </c>
      <c r="L21" s="1" t="n">
        <f aca="false">K21*3/J21</f>
        <v>0.275334608030593</v>
      </c>
      <c r="M21" s="1" t="n">
        <v>7</v>
      </c>
      <c r="N21" s="1" t="n">
        <v>0.4188</v>
      </c>
      <c r="O21" s="1" t="n">
        <f aca="false">N21*G21</f>
        <v>7.49652</v>
      </c>
      <c r="P21" s="1" t="n">
        <v>1</v>
      </c>
      <c r="Q21" s="1" t="n">
        <v>75.7</v>
      </c>
      <c r="R21" s="1" t="n">
        <v>65.5</v>
      </c>
      <c r="S21" s="1" t="n">
        <v>0.71</v>
      </c>
      <c r="T21" s="1" t="n">
        <v>9.6</v>
      </c>
      <c r="U21" s="1" t="n">
        <v>36</v>
      </c>
      <c r="V21" s="1" t="n">
        <v>10.2</v>
      </c>
      <c r="W21" s="1" t="n">
        <v>0.801</v>
      </c>
      <c r="X21" s="50" t="n">
        <v>1187536</v>
      </c>
      <c r="Y21" s="50"/>
      <c r="Z21" s="1" t="n">
        <v>15</v>
      </c>
      <c r="AA21" s="1" t="n">
        <v>4</v>
      </c>
      <c r="AB21" s="1" t="n">
        <v>0</v>
      </c>
      <c r="AC21" s="1" t="n">
        <v>11.3</v>
      </c>
      <c r="AD21" s="1" t="n">
        <v>4</v>
      </c>
    </row>
    <row r="22" customFormat="false" ht="12.75" hidden="false" customHeight="false" outlineLevel="0" collapsed="false">
      <c r="A22" s="1" t="s">
        <v>249</v>
      </c>
      <c r="B22" s="1" t="n">
        <v>1</v>
      </c>
      <c r="C22" s="1" t="n">
        <v>0.867</v>
      </c>
      <c r="D22" s="1" t="n">
        <v>0</v>
      </c>
      <c r="E22" s="1" t="n">
        <v>13.1</v>
      </c>
      <c r="F22" s="1" t="n">
        <v>0</v>
      </c>
      <c r="G22" s="1" t="n">
        <v>15.1</v>
      </c>
      <c r="H22" s="1" t="n">
        <v>0.667</v>
      </c>
      <c r="I22" s="1" t="n">
        <v>20</v>
      </c>
      <c r="J22" s="1" t="n">
        <v>2209</v>
      </c>
      <c r="K22" s="1" t="n">
        <v>172</v>
      </c>
      <c r="L22" s="1" t="n">
        <f aca="false">K22*3/J22</f>
        <v>0.233589859665007</v>
      </c>
      <c r="M22" s="1" t="n">
        <v>9</v>
      </c>
      <c r="N22" s="1" t="n">
        <v>0.5648</v>
      </c>
      <c r="O22" s="1" t="n">
        <f aca="false">N22*G22</f>
        <v>8.52848</v>
      </c>
      <c r="P22" s="1" t="n">
        <v>2</v>
      </c>
      <c r="Q22" s="1" t="n">
        <v>73</v>
      </c>
      <c r="R22" s="1" t="n">
        <v>61.8</v>
      </c>
      <c r="S22" s="1" t="n">
        <v>0.726</v>
      </c>
      <c r="T22" s="1" t="n">
        <v>10.6</v>
      </c>
      <c r="U22" s="1" t="n">
        <v>34</v>
      </c>
      <c r="V22" s="1" t="n">
        <v>11.3</v>
      </c>
      <c r="W22" s="1" t="n">
        <v>0.6</v>
      </c>
      <c r="X22" s="50"/>
      <c r="Y22" s="50"/>
      <c r="Z22" s="1" t="n">
        <v>4</v>
      </c>
      <c r="AA22" s="1" t="n">
        <v>1</v>
      </c>
      <c r="AB22" s="1" t="n">
        <v>0</v>
      </c>
      <c r="AC22" s="1" t="n">
        <v>11.4</v>
      </c>
      <c r="AD22" s="1" t="n">
        <v>5</v>
      </c>
    </row>
    <row r="23" customFormat="false" ht="12.75" hidden="false" customHeight="false" outlineLevel="0" collapsed="false">
      <c r="A23" s="54" t="s">
        <v>191</v>
      </c>
      <c r="B23" s="1" t="n">
        <v>-1</v>
      </c>
      <c r="C23" s="1" t="n">
        <v>0.625</v>
      </c>
      <c r="D23" s="1" t="n">
        <v>4</v>
      </c>
      <c r="E23" s="1" t="n">
        <v>11.9</v>
      </c>
      <c r="F23" s="1" t="n">
        <v>0</v>
      </c>
      <c r="G23" s="1" t="n">
        <v>-0.4</v>
      </c>
      <c r="H23" s="1" t="n">
        <v>0.222</v>
      </c>
      <c r="I23" s="1" t="n">
        <v>18</v>
      </c>
      <c r="J23" s="1" t="n">
        <v>2624</v>
      </c>
      <c r="K23" s="1" t="n">
        <v>187</v>
      </c>
      <c r="L23" s="1" t="n">
        <f aca="false">K23*3/J23</f>
        <v>0.213795731707317</v>
      </c>
      <c r="M23" s="1" t="n">
        <v>3</v>
      </c>
      <c r="N23" s="1" t="n">
        <v>0.506</v>
      </c>
      <c r="O23" s="1" t="n">
        <f aca="false">N23*G23</f>
        <v>-0.2024</v>
      </c>
      <c r="P23" s="1" t="n">
        <v>2</v>
      </c>
      <c r="Q23" s="1" t="n">
        <v>81.5</v>
      </c>
      <c r="R23" s="1" t="n">
        <v>70.3</v>
      </c>
      <c r="S23" s="1" t="n">
        <v>0.733</v>
      </c>
      <c r="T23" s="1" t="n">
        <v>13.8</v>
      </c>
      <c r="U23" s="1" t="n">
        <v>40.4</v>
      </c>
      <c r="V23" s="1" t="n">
        <v>11.2</v>
      </c>
      <c r="W23" s="1" t="n">
        <v>0.575</v>
      </c>
      <c r="X23" s="50" t="n">
        <v>1501250</v>
      </c>
      <c r="Y23" s="50" t="n">
        <v>805000</v>
      </c>
      <c r="Z23" s="1" t="n">
        <v>6</v>
      </c>
      <c r="AA23" s="1" t="n">
        <v>0</v>
      </c>
      <c r="AB23" s="1" t="n">
        <v>0</v>
      </c>
      <c r="AC23" s="1" t="n">
        <v>11.4</v>
      </c>
      <c r="AD23" s="1" t="n">
        <v>5.1</v>
      </c>
    </row>
    <row r="24" customFormat="false" ht="12.75" hidden="false" customHeight="false" outlineLevel="0" collapsed="false">
      <c r="A24" s="1" t="s">
        <v>192</v>
      </c>
      <c r="B24" s="1" t="n">
        <v>2</v>
      </c>
      <c r="C24" s="1" t="n">
        <v>0.788</v>
      </c>
      <c r="D24" s="1" t="n">
        <v>12</v>
      </c>
      <c r="E24" s="1" t="n">
        <v>8.967</v>
      </c>
      <c r="F24" s="1" t="n">
        <v>1</v>
      </c>
      <c r="G24" s="1" t="n">
        <v>17.7</v>
      </c>
      <c r="H24" s="1" t="n">
        <v>0.833</v>
      </c>
      <c r="I24" s="1" t="n">
        <v>15</v>
      </c>
      <c r="J24" s="1" t="n">
        <v>2735</v>
      </c>
      <c r="K24" s="1" t="n">
        <v>274</v>
      </c>
      <c r="L24" s="1" t="n">
        <f aca="false">K24*3/J24</f>
        <v>0.30054844606947</v>
      </c>
      <c r="M24" s="1" t="n">
        <v>8</v>
      </c>
      <c r="N24" s="1" t="n">
        <v>0.4647</v>
      </c>
      <c r="O24" s="1" t="n">
        <f aca="false">N24*G24</f>
        <v>8.22519</v>
      </c>
      <c r="P24" s="1" t="n">
        <v>2</v>
      </c>
      <c r="Q24" s="1" t="n">
        <v>83</v>
      </c>
      <c r="R24" s="1" t="n">
        <v>74.4</v>
      </c>
      <c r="S24" s="1" t="n">
        <v>0.694</v>
      </c>
      <c r="T24" s="1" t="n">
        <v>10.2</v>
      </c>
      <c r="U24" s="1" t="n">
        <v>38.5</v>
      </c>
      <c r="V24" s="1" t="n">
        <v>8.6</v>
      </c>
      <c r="W24" s="1" t="n">
        <v>0.657</v>
      </c>
      <c r="X24" s="50" t="n">
        <v>1618750</v>
      </c>
      <c r="Y24" s="50" t="n">
        <v>675000</v>
      </c>
      <c r="Z24" s="1" t="n">
        <v>3</v>
      </c>
      <c r="AA24" s="1" t="n">
        <v>1</v>
      </c>
      <c r="AB24" s="1" t="n">
        <v>0</v>
      </c>
      <c r="AC24" s="1" t="n">
        <v>10.5</v>
      </c>
      <c r="AD24" s="1" t="n">
        <v>2.9</v>
      </c>
    </row>
    <row r="25" customFormat="false" ht="12.75" hidden="false" customHeight="false" outlineLevel="0" collapsed="false">
      <c r="A25" s="1" t="s">
        <v>71</v>
      </c>
      <c r="B25" s="1" t="n">
        <v>1</v>
      </c>
      <c r="C25" s="1" t="n">
        <v>0.727</v>
      </c>
      <c r="D25" s="1" t="n">
        <v>12</v>
      </c>
      <c r="E25" s="1" t="n">
        <v>9.17</v>
      </c>
      <c r="F25" s="1" t="n">
        <v>0</v>
      </c>
      <c r="G25" s="1" t="n">
        <v>21.7</v>
      </c>
      <c r="H25" s="1" t="n">
        <v>0.429</v>
      </c>
      <c r="I25" s="1" t="n">
        <v>9</v>
      </c>
      <c r="J25" s="1" t="n">
        <v>2627</v>
      </c>
      <c r="K25" s="1" t="n">
        <v>184</v>
      </c>
      <c r="L25" s="1" t="n">
        <f aca="false">K25*3/J25</f>
        <v>0.210125618576323</v>
      </c>
      <c r="M25" s="1" t="n">
        <v>4</v>
      </c>
      <c r="N25" s="1" t="n">
        <v>0.4463</v>
      </c>
      <c r="O25" s="1" t="n">
        <f aca="false">N25*G25</f>
        <v>9.68471</v>
      </c>
      <c r="P25" s="1" t="n">
        <v>1</v>
      </c>
      <c r="Q25" s="1" t="n">
        <v>79</v>
      </c>
      <c r="R25" s="1" t="n">
        <v>70.1</v>
      </c>
      <c r="S25" s="1" t="n">
        <v>0.711</v>
      </c>
      <c r="T25" s="1" t="n">
        <v>11.8</v>
      </c>
      <c r="U25" s="1" t="n">
        <v>38.2</v>
      </c>
      <c r="V25" s="1" t="n">
        <v>8.9</v>
      </c>
      <c r="W25" s="1" t="n">
        <v>0.754</v>
      </c>
      <c r="X25" s="50" t="n">
        <v>4960763</v>
      </c>
      <c r="Y25" s="50" t="n">
        <v>525000</v>
      </c>
      <c r="Z25" s="1" t="n">
        <v>16</v>
      </c>
      <c r="AA25" s="1" t="n">
        <v>10</v>
      </c>
      <c r="AB25" s="1" t="n">
        <v>2</v>
      </c>
      <c r="AC25" s="1" t="n">
        <v>13.2</v>
      </c>
      <c r="AD25" s="1" t="n">
        <v>5.7</v>
      </c>
    </row>
    <row r="26" customFormat="false" ht="12.75" hidden="false" customHeight="false" outlineLevel="0" collapsed="false">
      <c r="A26" s="1" t="s">
        <v>322</v>
      </c>
      <c r="B26" s="1" t="n">
        <v>0</v>
      </c>
      <c r="C26" s="1" t="n">
        <v>0.625</v>
      </c>
      <c r="D26" s="1" t="n">
        <v>7</v>
      </c>
      <c r="E26" s="1" t="n">
        <v>4</v>
      </c>
      <c r="F26" s="1" t="n">
        <v>0</v>
      </c>
      <c r="G26" s="1" t="n">
        <v>12.5</v>
      </c>
      <c r="H26" s="1" t="n">
        <v>0.625</v>
      </c>
      <c r="I26" s="1" t="n">
        <v>16</v>
      </c>
      <c r="J26" s="1" t="n">
        <v>2231</v>
      </c>
      <c r="K26" s="1" t="n">
        <v>193</v>
      </c>
      <c r="L26" s="1" t="n">
        <f aca="false">K26*3/J26</f>
        <v>0.259524876736889</v>
      </c>
      <c r="M26" s="1" t="n">
        <v>5</v>
      </c>
      <c r="N26" s="1" t="n">
        <v>0.5586</v>
      </c>
      <c r="O26" s="1" t="n">
        <f aca="false">N26*G26</f>
        <v>6.9825</v>
      </c>
      <c r="P26" s="1" t="n">
        <v>3</v>
      </c>
      <c r="Q26" s="1" t="n">
        <v>69.1</v>
      </c>
      <c r="R26" s="1" t="n">
        <v>65.4</v>
      </c>
      <c r="S26" s="1" t="n">
        <v>0.658</v>
      </c>
      <c r="T26" s="1" t="n">
        <v>12.4</v>
      </c>
      <c r="U26" s="1" t="n">
        <v>35.8</v>
      </c>
      <c r="V26" s="1" t="n">
        <v>3.7</v>
      </c>
      <c r="W26" s="1" t="n">
        <v>0.672</v>
      </c>
      <c r="X26" s="50" t="n">
        <v>1754040</v>
      </c>
      <c r="Y26" s="50" t="n">
        <v>735000</v>
      </c>
      <c r="Z26" s="1" t="n">
        <v>10</v>
      </c>
      <c r="AA26" s="1" t="n">
        <v>3</v>
      </c>
      <c r="AB26" s="1" t="n">
        <v>1</v>
      </c>
      <c r="AC26" s="1" t="n">
        <v>12.3</v>
      </c>
      <c r="AD26" s="1" t="n">
        <v>3</v>
      </c>
    </row>
    <row r="27" customFormat="false" ht="12.75" hidden="false" customHeight="false" outlineLevel="0" collapsed="false">
      <c r="A27" s="1" t="s">
        <v>24</v>
      </c>
      <c r="B27" s="1" t="n">
        <v>5</v>
      </c>
      <c r="C27" s="1" t="n">
        <v>0.706</v>
      </c>
      <c r="D27" s="1" t="n">
        <v>3</v>
      </c>
      <c r="E27" s="1" t="n">
        <v>9.24</v>
      </c>
      <c r="F27" s="1" t="n">
        <v>0</v>
      </c>
      <c r="G27" s="1" t="n">
        <v>18.4</v>
      </c>
      <c r="H27" s="1" t="n">
        <v>0.222</v>
      </c>
      <c r="I27" s="1" t="n">
        <v>8</v>
      </c>
      <c r="J27" s="1" t="n">
        <v>2581</v>
      </c>
      <c r="K27" s="1" t="n">
        <v>173</v>
      </c>
      <c r="L27" s="1" t="n">
        <f aca="false">K27*3/J27</f>
        <v>0.20108485083301</v>
      </c>
      <c r="M27" s="1" t="n">
        <v>5</v>
      </c>
      <c r="N27" s="1" t="n">
        <v>0.5814</v>
      </c>
      <c r="O27" s="1" t="n">
        <f aca="false">N27*G27</f>
        <v>10.69776</v>
      </c>
      <c r="P27" s="1" t="n">
        <v>2</v>
      </c>
      <c r="Q27" s="1" t="n">
        <v>75.2</v>
      </c>
      <c r="R27" s="1" t="n">
        <v>66.8</v>
      </c>
      <c r="S27" s="1" t="n">
        <v>0.679</v>
      </c>
      <c r="T27" s="1" t="n">
        <v>14.7</v>
      </c>
      <c r="U27" s="1" t="n">
        <v>40.4</v>
      </c>
      <c r="V27" s="1" t="n">
        <v>8.5</v>
      </c>
      <c r="W27" s="1" t="n">
        <v>0.771</v>
      </c>
      <c r="X27" s="50" t="n">
        <v>5511381</v>
      </c>
      <c r="Y27" s="50" t="n">
        <v>850000</v>
      </c>
      <c r="Z27" s="1" t="n">
        <v>15</v>
      </c>
      <c r="AA27" s="1" t="n">
        <v>11</v>
      </c>
      <c r="AB27" s="1" t="n">
        <v>5</v>
      </c>
      <c r="AC27" s="1" t="n">
        <v>12.2</v>
      </c>
      <c r="AD27" s="1" t="n">
        <v>6.2</v>
      </c>
    </row>
    <row r="28" customFormat="false" ht="12.75" hidden="false" customHeight="false" outlineLevel="0" collapsed="false">
      <c r="A28" s="1" t="s">
        <v>323</v>
      </c>
      <c r="B28" s="1" t="n">
        <v>0</v>
      </c>
      <c r="C28" s="1" t="n">
        <v>0.676</v>
      </c>
      <c r="D28" s="1" t="n">
        <v>1</v>
      </c>
      <c r="E28" s="1" t="n">
        <v>6.25</v>
      </c>
      <c r="F28" s="1" t="n">
        <v>0</v>
      </c>
      <c r="G28" s="1" t="n">
        <v>3.8</v>
      </c>
      <c r="H28" s="1" t="n">
        <v>0.6</v>
      </c>
      <c r="I28" s="1" t="n">
        <v>19</v>
      </c>
      <c r="J28" s="1" t="n">
        <v>2769</v>
      </c>
      <c r="K28" s="1" t="n">
        <v>242</v>
      </c>
      <c r="L28" s="1" t="n">
        <f aca="false">K28*3/J28</f>
        <v>0.262188515709642</v>
      </c>
      <c r="M28" s="1" t="n">
        <v>6</v>
      </c>
      <c r="N28" s="1" t="n">
        <v>0.4892</v>
      </c>
      <c r="O28" s="1" t="n">
        <f aca="false">N28*G28</f>
        <v>1.85896</v>
      </c>
      <c r="P28" s="1" t="n">
        <v>0</v>
      </c>
      <c r="Q28" s="1" t="n">
        <v>79.4</v>
      </c>
      <c r="R28" s="1" t="n">
        <v>75.4</v>
      </c>
      <c r="S28" s="1" t="n">
        <v>0.673</v>
      </c>
      <c r="T28" s="1" t="n">
        <v>13.7</v>
      </c>
      <c r="U28" s="1" t="n">
        <v>37.9</v>
      </c>
      <c r="V28" s="1" t="n">
        <v>3.2</v>
      </c>
      <c r="W28" s="1" t="n">
        <v>0.6</v>
      </c>
      <c r="X28" s="50" t="n">
        <v>400000</v>
      </c>
      <c r="Y28" s="50" t="n">
        <v>78500</v>
      </c>
      <c r="Z28" s="1" t="n">
        <v>3</v>
      </c>
      <c r="AA28" s="1" t="n">
        <v>0</v>
      </c>
      <c r="AB28" s="1" t="n">
        <v>0</v>
      </c>
      <c r="AC28" s="1" t="n">
        <v>13.6</v>
      </c>
      <c r="AD28" s="1" t="n">
        <v>4.1</v>
      </c>
    </row>
    <row r="29" customFormat="false" ht="12.75" hidden="false" customHeight="false" outlineLevel="0" collapsed="false">
      <c r="A29" s="1" t="s">
        <v>109</v>
      </c>
      <c r="B29" s="1" t="n">
        <v>2</v>
      </c>
      <c r="C29" s="1" t="n">
        <v>0.853</v>
      </c>
      <c r="D29" s="1" t="n">
        <v>4</v>
      </c>
      <c r="E29" s="1" t="n">
        <v>21.19</v>
      </c>
      <c r="F29" s="1" t="n">
        <v>1</v>
      </c>
      <c r="G29" s="1" t="n">
        <v>26.4</v>
      </c>
      <c r="H29" s="1" t="n">
        <v>0.5</v>
      </c>
      <c r="I29" s="1" t="n">
        <v>18</v>
      </c>
      <c r="J29" s="1" t="n">
        <v>2792</v>
      </c>
      <c r="K29" s="1" t="n">
        <v>274</v>
      </c>
      <c r="L29" s="1" t="n">
        <f aca="false">K29*3/J29</f>
        <v>0.294412607449857</v>
      </c>
      <c r="M29" s="1" t="n">
        <v>9</v>
      </c>
      <c r="N29" s="1" t="n">
        <v>0.5092</v>
      </c>
      <c r="O29" s="1" t="n">
        <f aca="false">N29*G29</f>
        <v>13.44288</v>
      </c>
      <c r="P29" s="1" t="n">
        <v>3</v>
      </c>
      <c r="Q29" s="1" t="n">
        <v>81</v>
      </c>
      <c r="R29" s="1" t="n">
        <v>61.1</v>
      </c>
      <c r="S29" s="1" t="n">
        <v>0.659</v>
      </c>
      <c r="T29" s="1" t="n">
        <v>13.7</v>
      </c>
      <c r="U29" s="1" t="n">
        <v>38</v>
      </c>
      <c r="V29" s="1" t="n">
        <v>19.9</v>
      </c>
      <c r="W29" s="1" t="n">
        <v>0.742</v>
      </c>
      <c r="X29" s="50" t="n">
        <v>5758338</v>
      </c>
      <c r="Y29" s="50" t="n">
        <v>775000</v>
      </c>
      <c r="Z29" s="1" t="n">
        <v>19</v>
      </c>
      <c r="AA29" s="1" t="n">
        <v>12</v>
      </c>
      <c r="AB29" s="1" t="n">
        <v>7</v>
      </c>
      <c r="AC29" s="1" t="n">
        <v>10.3</v>
      </c>
      <c r="AD29" s="1" t="n">
        <v>4.6</v>
      </c>
    </row>
    <row r="30" customFormat="false" ht="12.75" hidden="false" customHeight="false" outlineLevel="0" collapsed="false">
      <c r="A30" s="1" t="s">
        <v>252</v>
      </c>
      <c r="B30" s="1" t="n">
        <v>0</v>
      </c>
      <c r="C30" s="1" t="n">
        <v>0.781</v>
      </c>
      <c r="D30" s="1" t="n">
        <v>0</v>
      </c>
      <c r="E30" s="1" t="n">
        <v>7.36</v>
      </c>
      <c r="F30" s="1" t="n">
        <v>0</v>
      </c>
      <c r="G30" s="1" t="n">
        <v>9.5</v>
      </c>
      <c r="H30" s="1" t="n">
        <v>0.583</v>
      </c>
      <c r="I30" s="1" t="n">
        <v>20</v>
      </c>
      <c r="J30" s="1" t="n">
        <v>2476</v>
      </c>
      <c r="K30" s="1" t="n">
        <v>205</v>
      </c>
      <c r="L30" s="1" t="n">
        <f aca="false">K30*3/J30</f>
        <v>0.248384491114701</v>
      </c>
      <c r="M30" s="1" t="n">
        <v>9</v>
      </c>
      <c r="N30" s="1" t="n">
        <v>0.574</v>
      </c>
      <c r="O30" s="1" t="n">
        <f aca="false">N30*G30</f>
        <v>5.453</v>
      </c>
      <c r="P30" s="1" t="n">
        <v>0</v>
      </c>
      <c r="Q30" s="1" t="n">
        <v>77</v>
      </c>
      <c r="R30" s="1" t="n">
        <v>70</v>
      </c>
      <c r="S30" s="1" t="n">
        <v>0.662</v>
      </c>
      <c r="T30" s="1" t="n">
        <v>12.8</v>
      </c>
      <c r="U30" s="1" t="n">
        <v>37.4</v>
      </c>
      <c r="V30" s="1" t="n">
        <v>6.9</v>
      </c>
      <c r="W30" s="1" t="n">
        <v>0.606</v>
      </c>
      <c r="X30" s="50"/>
      <c r="Y30" s="50"/>
      <c r="Z30" s="1" t="n">
        <v>1</v>
      </c>
      <c r="AA30" s="1" t="n">
        <v>0</v>
      </c>
      <c r="AB30" s="1" t="n">
        <v>0</v>
      </c>
      <c r="AC30" s="1" t="n">
        <v>14.2</v>
      </c>
      <c r="AD30" s="1" t="n">
        <v>6.1</v>
      </c>
    </row>
    <row r="31" customFormat="false" ht="12.75" hidden="false" customHeight="false" outlineLevel="0" collapsed="false">
      <c r="A31" s="1" t="s">
        <v>324</v>
      </c>
      <c r="B31" s="1" t="n">
        <v>0</v>
      </c>
      <c r="C31" s="1" t="n">
        <v>0.75</v>
      </c>
      <c r="D31" s="1" t="n">
        <v>7</v>
      </c>
      <c r="E31" s="1" t="n">
        <v>5.37</v>
      </c>
      <c r="F31" s="1" t="n">
        <v>0</v>
      </c>
      <c r="G31" s="1" t="n">
        <v>11.6</v>
      </c>
      <c r="H31" s="1" t="n">
        <v>0.714</v>
      </c>
      <c r="I31" s="1" t="n">
        <v>19</v>
      </c>
      <c r="J31" s="1" t="n">
        <v>2435</v>
      </c>
      <c r="K31" s="1" t="n">
        <v>174</v>
      </c>
      <c r="L31" s="1" t="n">
        <f aca="false">K31*3/J31</f>
        <v>0.214373716632444</v>
      </c>
      <c r="M31" s="1" t="n">
        <v>6</v>
      </c>
      <c r="N31" s="1" t="n">
        <v>0.5594</v>
      </c>
      <c r="O31" s="1" t="n">
        <f aca="false">N31*G31</f>
        <v>6.48904</v>
      </c>
      <c r="P31" s="1" t="n">
        <v>0</v>
      </c>
      <c r="Q31" s="1" t="n">
        <v>75.8</v>
      </c>
      <c r="R31" s="1" t="n">
        <v>70.1</v>
      </c>
      <c r="S31" s="1" t="n">
        <v>0.682</v>
      </c>
      <c r="T31" s="1" t="n">
        <v>12.2</v>
      </c>
      <c r="U31" s="1" t="n">
        <v>38.4</v>
      </c>
      <c r="V31" s="1" t="n">
        <v>4.6</v>
      </c>
      <c r="W31" s="1" t="n">
        <v>0.559</v>
      </c>
      <c r="X31" s="50" t="n">
        <v>843667</v>
      </c>
      <c r="Y31" s="50" t="n">
        <v>175000</v>
      </c>
      <c r="Z31" s="1" t="n">
        <v>1</v>
      </c>
      <c r="AA31" s="1" t="n">
        <v>0</v>
      </c>
      <c r="AB31" s="1" t="n">
        <v>0</v>
      </c>
      <c r="AC31" s="1" t="n">
        <v>13.5</v>
      </c>
      <c r="AD31" s="1" t="n">
        <v>5.5</v>
      </c>
    </row>
    <row r="32" customFormat="false" ht="12.75" hidden="false" customHeight="false" outlineLevel="0" collapsed="false">
      <c r="A32" s="1" t="s">
        <v>325</v>
      </c>
      <c r="B32" s="1" t="n">
        <v>1</v>
      </c>
      <c r="C32" s="1" t="n">
        <v>0.719</v>
      </c>
      <c r="D32" s="1" t="n">
        <v>4</v>
      </c>
      <c r="E32" s="1" t="n">
        <v>7.2</v>
      </c>
      <c r="F32" s="1" t="n">
        <v>0</v>
      </c>
      <c r="G32" s="1" t="n">
        <v>12.6</v>
      </c>
      <c r="H32" s="1" t="n">
        <v>0.6</v>
      </c>
      <c r="I32" s="1" t="n">
        <v>19</v>
      </c>
      <c r="J32" s="1" t="n">
        <v>2483</v>
      </c>
      <c r="K32" s="1" t="n">
        <v>173</v>
      </c>
      <c r="L32" s="1" t="n">
        <f aca="false">K32*3/J32</f>
        <v>0.209021345147</v>
      </c>
      <c r="M32" s="1" t="n">
        <v>6</v>
      </c>
      <c r="N32" s="1" t="n">
        <v>0.4966</v>
      </c>
      <c r="O32" s="1" t="n">
        <f aca="false">N32*G32</f>
        <v>6.25716</v>
      </c>
      <c r="P32" s="1" t="n">
        <v>3</v>
      </c>
      <c r="Q32" s="1" t="n">
        <v>76.2</v>
      </c>
      <c r="R32" s="1" t="n">
        <v>70.3</v>
      </c>
      <c r="S32" s="1" t="n">
        <v>0.649</v>
      </c>
      <c r="T32" s="1" t="n">
        <v>12.6</v>
      </c>
      <c r="U32" s="1" t="n">
        <v>37.1</v>
      </c>
      <c r="V32" s="1" t="n">
        <v>5.9</v>
      </c>
      <c r="W32" s="1" t="n">
        <v>0.747</v>
      </c>
      <c r="X32" s="50" t="n">
        <v>2650000</v>
      </c>
      <c r="Y32" s="50" t="n">
        <v>710000</v>
      </c>
      <c r="Z32" s="1" t="n">
        <v>4</v>
      </c>
      <c r="AA32" s="1" t="n">
        <v>0</v>
      </c>
      <c r="AB32" s="1" t="n">
        <v>0</v>
      </c>
      <c r="AC32" s="1" t="n">
        <v>13.5</v>
      </c>
      <c r="AD32" s="1" t="n">
        <v>4.8</v>
      </c>
    </row>
    <row r="33" customFormat="false" ht="12.75" hidden="false" customHeight="false" outlineLevel="0" collapsed="false">
      <c r="A33" s="1" t="s">
        <v>326</v>
      </c>
      <c r="B33" s="1" t="n">
        <v>1</v>
      </c>
      <c r="C33" s="1" t="n">
        <v>0.765</v>
      </c>
      <c r="D33" s="1" t="n">
        <v>0</v>
      </c>
      <c r="E33" s="1" t="n">
        <v>12.9</v>
      </c>
      <c r="F33" s="1" t="n">
        <v>0</v>
      </c>
      <c r="G33" s="1" t="n">
        <v>6.2</v>
      </c>
      <c r="H33" s="1" t="n">
        <v>0.714</v>
      </c>
      <c r="I33" s="1" t="n">
        <v>22</v>
      </c>
      <c r="J33" s="1" t="n">
        <v>2695</v>
      </c>
      <c r="K33" s="1" t="n">
        <v>277</v>
      </c>
      <c r="L33" s="1" t="n">
        <f aca="false">K33*3/J33</f>
        <v>0.30834879406308</v>
      </c>
      <c r="M33" s="1" t="n">
        <v>8</v>
      </c>
      <c r="N33" s="1" t="n">
        <v>0.5796</v>
      </c>
      <c r="O33" s="1" t="n">
        <f aca="false">N33*G33</f>
        <v>3.59352</v>
      </c>
      <c r="P33" s="1" t="n">
        <v>0</v>
      </c>
      <c r="Q33" s="1" t="n">
        <v>76.8</v>
      </c>
      <c r="R33" s="1" t="n">
        <v>68</v>
      </c>
      <c r="S33" s="1" t="n">
        <v>0.732</v>
      </c>
      <c r="T33" s="1" t="n">
        <v>11.7</v>
      </c>
      <c r="U33" s="1" t="n">
        <v>35.6</v>
      </c>
      <c r="V33" s="1" t="n">
        <v>8.8</v>
      </c>
      <c r="W33" s="1" t="n">
        <v>0.55</v>
      </c>
      <c r="X33" s="50"/>
      <c r="Y33" s="50"/>
      <c r="Z33" s="1" t="n">
        <v>1</v>
      </c>
      <c r="AA33" s="1" t="n">
        <v>0</v>
      </c>
      <c r="AB33" s="1" t="n">
        <v>0</v>
      </c>
      <c r="AC33" s="1" t="n">
        <v>11.9</v>
      </c>
      <c r="AD33" s="1" t="n">
        <v>4.2</v>
      </c>
    </row>
    <row r="34" customFormat="false" ht="12.75" hidden="false" customHeight="false" outlineLevel="0" collapsed="false">
      <c r="A34" s="1" t="s">
        <v>47</v>
      </c>
      <c r="B34" s="1" t="n">
        <v>3</v>
      </c>
      <c r="C34" s="1" t="n">
        <v>0.758</v>
      </c>
      <c r="D34" s="1" t="n">
        <v>9</v>
      </c>
      <c r="E34" s="1" t="n">
        <v>9.06</v>
      </c>
      <c r="F34" s="1" t="n">
        <v>0</v>
      </c>
      <c r="G34" s="1" t="n">
        <v>21.8</v>
      </c>
      <c r="H34" s="1" t="n">
        <v>0.818</v>
      </c>
      <c r="I34" s="1" t="n">
        <v>11</v>
      </c>
      <c r="J34" s="1" t="n">
        <v>2455</v>
      </c>
      <c r="K34" s="1" t="n">
        <v>280</v>
      </c>
      <c r="L34" s="1" t="n">
        <f aca="false">K34*3/J34</f>
        <v>0.342158859470468</v>
      </c>
      <c r="M34" s="1" t="n">
        <v>8</v>
      </c>
      <c r="N34" s="1" t="n">
        <v>0.5817</v>
      </c>
      <c r="O34" s="1" t="n">
        <f aca="false">N34*G34</f>
        <v>12.68106</v>
      </c>
      <c r="P34" s="1" t="n">
        <v>3</v>
      </c>
      <c r="Q34" s="1" t="n">
        <v>73.9</v>
      </c>
      <c r="R34" s="1" t="n">
        <v>65.1</v>
      </c>
      <c r="S34" s="1" t="n">
        <v>0.757</v>
      </c>
      <c r="T34" s="1" t="n">
        <v>8.7</v>
      </c>
      <c r="U34" s="1" t="n">
        <v>31.4</v>
      </c>
      <c r="V34" s="1" t="n">
        <v>8.9</v>
      </c>
      <c r="W34" s="1" t="n">
        <v>0.622</v>
      </c>
      <c r="X34" s="50" t="n">
        <v>2498242</v>
      </c>
      <c r="Y34" s="50" t="n">
        <v>275000</v>
      </c>
      <c r="Z34" s="1" t="n">
        <v>9</v>
      </c>
      <c r="AA34" s="1" t="n">
        <v>4</v>
      </c>
      <c r="AB34" s="1" t="n">
        <v>1</v>
      </c>
      <c r="AC34" s="1" t="n">
        <v>9.4</v>
      </c>
      <c r="AD34" s="1" t="n">
        <v>2.5</v>
      </c>
    </row>
    <row r="35" customFormat="false" ht="12.75" hidden="false" customHeight="false" outlineLevel="0" collapsed="false">
      <c r="A35" s="1" t="s">
        <v>194</v>
      </c>
      <c r="B35" s="1" t="n">
        <v>3</v>
      </c>
      <c r="C35" s="1" t="n">
        <v>0.765</v>
      </c>
      <c r="D35" s="1" t="n">
        <v>9</v>
      </c>
      <c r="E35" s="1" t="n">
        <v>10.6</v>
      </c>
      <c r="F35" s="1" t="n">
        <v>1</v>
      </c>
      <c r="G35" s="1" t="n">
        <v>19.9</v>
      </c>
      <c r="H35" s="1" t="n">
        <v>0.556</v>
      </c>
      <c r="I35" s="1" t="n">
        <v>18</v>
      </c>
      <c r="J35" s="1" t="n">
        <v>2582</v>
      </c>
      <c r="K35" s="1" t="n">
        <v>274</v>
      </c>
      <c r="L35" s="1" t="n">
        <f aca="false">K35*3/J35</f>
        <v>0.318357862122386</v>
      </c>
      <c r="M35" s="1" t="n">
        <v>6</v>
      </c>
      <c r="N35" s="1" t="n">
        <v>0.5761</v>
      </c>
      <c r="O35" s="1" t="n">
        <f aca="false">N35*G35</f>
        <v>11.46439</v>
      </c>
      <c r="P35" s="1" t="n">
        <v>3</v>
      </c>
      <c r="Q35" s="1" t="n">
        <v>75.5</v>
      </c>
      <c r="R35" s="1" t="n">
        <v>65.6</v>
      </c>
      <c r="S35" s="1" t="n">
        <v>0.69</v>
      </c>
      <c r="T35" s="1" t="n">
        <v>11</v>
      </c>
      <c r="U35" s="1" t="n">
        <v>36.9</v>
      </c>
      <c r="V35" s="1" t="n">
        <v>10</v>
      </c>
      <c r="W35" s="1" t="n">
        <v>0.715</v>
      </c>
      <c r="X35" s="50" t="n">
        <v>3893954</v>
      </c>
      <c r="Y35" s="50" t="n">
        <v>350000</v>
      </c>
      <c r="Z35" s="1" t="n">
        <v>17</v>
      </c>
      <c r="AA35" s="1" t="n">
        <v>12</v>
      </c>
      <c r="AB35" s="1" t="n">
        <v>6</v>
      </c>
      <c r="AC35" s="1" t="n">
        <v>11.4</v>
      </c>
      <c r="AD35" s="1" t="n">
        <v>4.8</v>
      </c>
    </row>
    <row r="36" customFormat="false" ht="12.75" hidden="false" customHeight="false" outlineLevel="0" collapsed="false">
      <c r="A36" s="1" t="s">
        <v>327</v>
      </c>
      <c r="B36" s="1" t="n">
        <v>0</v>
      </c>
      <c r="C36" s="1" t="n">
        <v>0.618</v>
      </c>
      <c r="D36" s="1" t="n">
        <v>0</v>
      </c>
      <c r="E36" s="1" t="n">
        <v>0.47</v>
      </c>
      <c r="F36" s="1" t="n">
        <v>0</v>
      </c>
      <c r="G36" s="1" t="n">
        <v>-0.2</v>
      </c>
      <c r="H36" s="1" t="n">
        <v>0.625</v>
      </c>
      <c r="I36" s="1" t="n">
        <v>19</v>
      </c>
      <c r="J36" s="1" t="n">
        <v>2412</v>
      </c>
      <c r="K36" s="1" t="n">
        <v>239</v>
      </c>
      <c r="L36" s="1" t="n">
        <f aca="false">K36*3/J36</f>
        <v>0.29726368159204</v>
      </c>
      <c r="M36" s="1" t="n">
        <v>6</v>
      </c>
      <c r="N36" s="1" t="n">
        <v>0.5563</v>
      </c>
      <c r="O36" s="1" t="n">
        <f aca="false">N36*G36</f>
        <v>-0.11126</v>
      </c>
      <c r="P36" s="1" t="n">
        <v>0</v>
      </c>
      <c r="Q36" s="1" t="n">
        <v>69.9</v>
      </c>
      <c r="R36" s="1" t="n">
        <v>71</v>
      </c>
      <c r="S36" s="1" t="n">
        <v>0.734</v>
      </c>
      <c r="T36" s="1" t="n">
        <v>9.7</v>
      </c>
      <c r="U36" s="1" t="n">
        <v>33.4</v>
      </c>
      <c r="V36" s="1" t="n">
        <v>-1.1</v>
      </c>
      <c r="W36" s="1" t="n">
        <v>0.515</v>
      </c>
      <c r="X36" s="50" t="n">
        <v>459151</v>
      </c>
      <c r="Y36" s="50" t="n">
        <v>212323</v>
      </c>
      <c r="Z36" s="1" t="n">
        <v>2</v>
      </c>
      <c r="AA36" s="1" t="n">
        <v>0</v>
      </c>
      <c r="AB36" s="1" t="n">
        <v>0</v>
      </c>
      <c r="AC36" s="1" t="n">
        <v>13.4</v>
      </c>
      <c r="AD36" s="1" t="n">
        <v>2.4</v>
      </c>
    </row>
    <row r="37" customFormat="false" ht="12.75" hidden="false" customHeight="false" outlineLevel="0" collapsed="false">
      <c r="A37" s="54" t="s">
        <v>328</v>
      </c>
      <c r="B37" s="1" t="n">
        <v>-1</v>
      </c>
      <c r="C37" s="1" t="n">
        <v>0.5</v>
      </c>
      <c r="D37" s="1" t="n">
        <v>1</v>
      </c>
      <c r="E37" s="1" t="n">
        <v>-1.7</v>
      </c>
      <c r="F37" s="1" t="n">
        <v>0</v>
      </c>
      <c r="G37" s="1" t="n">
        <v>-2.1</v>
      </c>
      <c r="H37" s="1" t="n">
        <v>0.6</v>
      </c>
      <c r="I37" s="1" t="n">
        <v>17</v>
      </c>
      <c r="J37" s="1" t="n">
        <v>2440</v>
      </c>
      <c r="K37" s="1" t="n">
        <v>284</v>
      </c>
      <c r="L37" s="1" t="n">
        <f aca="false">K37*3/J37</f>
        <v>0.349180327868852</v>
      </c>
      <c r="M37" s="1" t="n">
        <v>6</v>
      </c>
      <c r="N37" s="1" t="n">
        <v>0.5715</v>
      </c>
      <c r="O37" s="1" t="n">
        <f aca="false">N37*G37</f>
        <v>-1.20015</v>
      </c>
      <c r="P37" s="1" t="n">
        <v>0</v>
      </c>
      <c r="Q37" s="1" t="n">
        <v>75.9</v>
      </c>
      <c r="R37" s="1" t="n">
        <v>77.8</v>
      </c>
      <c r="S37" s="1" t="n">
        <v>0.741</v>
      </c>
      <c r="T37" s="1" t="n">
        <v>10.1</v>
      </c>
      <c r="U37" s="1" t="n">
        <v>33.7</v>
      </c>
      <c r="V37" s="1" t="n">
        <v>-1.9</v>
      </c>
      <c r="W37" s="1" t="n">
        <v>0.523</v>
      </c>
      <c r="X37" s="50"/>
      <c r="Y37" s="50"/>
      <c r="Z37" s="1" t="n">
        <v>1</v>
      </c>
      <c r="AA37" s="1" t="n">
        <v>0</v>
      </c>
      <c r="AB37" s="1" t="n">
        <v>0</v>
      </c>
      <c r="AC37" s="1" t="n">
        <v>11.8</v>
      </c>
      <c r="AD37" s="1" t="n">
        <v>3</v>
      </c>
    </row>
    <row r="38" customFormat="false" ht="12.75" hidden="false" customHeight="false" outlineLevel="0" collapsed="false">
      <c r="A38" s="1" t="s">
        <v>329</v>
      </c>
      <c r="B38" s="1" t="n">
        <v>0</v>
      </c>
      <c r="C38" s="1" t="n">
        <v>0.613</v>
      </c>
      <c r="D38" s="1" t="n">
        <v>3</v>
      </c>
      <c r="E38" s="1" t="n">
        <v>2.1</v>
      </c>
      <c r="F38" s="1" t="n">
        <v>0</v>
      </c>
      <c r="G38" s="1" t="n">
        <v>12.2</v>
      </c>
      <c r="H38" s="1" t="n">
        <v>0.571</v>
      </c>
      <c r="I38" s="1" t="n">
        <v>14</v>
      </c>
      <c r="J38" s="1" t="n">
        <v>2077</v>
      </c>
      <c r="K38" s="1" t="n">
        <v>184</v>
      </c>
      <c r="L38" s="1" t="n">
        <f aca="false">K38*3/J38</f>
        <v>0.265767934520944</v>
      </c>
      <c r="M38" s="1" t="n">
        <v>8</v>
      </c>
      <c r="N38" s="1" t="n">
        <v>0.6344</v>
      </c>
      <c r="O38" s="1" t="n">
        <f aca="false">N38*G38</f>
        <v>7.73968</v>
      </c>
      <c r="P38" s="1" t="n">
        <v>0</v>
      </c>
      <c r="Q38" s="1" t="n">
        <v>66.8</v>
      </c>
      <c r="R38" s="1" t="n">
        <v>65.2</v>
      </c>
      <c r="S38" s="1" t="n">
        <v>0.719</v>
      </c>
      <c r="T38" s="1" t="n">
        <v>8.8</v>
      </c>
      <c r="U38" s="1" t="n">
        <v>34.1</v>
      </c>
      <c r="V38" s="1" t="n">
        <v>1.6</v>
      </c>
      <c r="W38" s="1" t="n">
        <v>0.504</v>
      </c>
      <c r="X38" s="50" t="n">
        <v>1525000</v>
      </c>
      <c r="Y38" s="50" t="n">
        <v>875000</v>
      </c>
      <c r="Z38" s="1" t="n">
        <v>2</v>
      </c>
      <c r="AA38" s="1" t="n">
        <v>0</v>
      </c>
      <c r="AB38" s="1" t="n">
        <v>0</v>
      </c>
      <c r="AC38" s="1" t="n">
        <v>10.9</v>
      </c>
      <c r="AD38" s="1" t="n">
        <v>3</v>
      </c>
    </row>
    <row r="39" customFormat="false" ht="12.75" hidden="false" customHeight="false" outlineLevel="0" collapsed="false">
      <c r="A39" s="1" t="s">
        <v>330</v>
      </c>
      <c r="B39" s="1" t="n">
        <v>0</v>
      </c>
      <c r="C39" s="1" t="n">
        <v>0.818</v>
      </c>
      <c r="D39" s="1" t="n">
        <v>4</v>
      </c>
      <c r="E39" s="1" t="n">
        <v>8.26</v>
      </c>
      <c r="F39" s="1" t="n">
        <v>0</v>
      </c>
      <c r="G39" s="1" t="n">
        <v>15.6</v>
      </c>
      <c r="H39" s="1" t="n">
        <v>0.667</v>
      </c>
      <c r="I39" s="1" t="n">
        <v>18</v>
      </c>
      <c r="J39" s="1" t="n">
        <v>2463</v>
      </c>
      <c r="K39" s="1" t="n">
        <v>193</v>
      </c>
      <c r="L39" s="1" t="n">
        <f aca="false">K39*3/J39</f>
        <v>0.235079171741778</v>
      </c>
      <c r="M39" s="1" t="n">
        <v>9</v>
      </c>
      <c r="N39" s="1" t="n">
        <v>0.5771</v>
      </c>
      <c r="O39" s="1" t="n">
        <f aca="false">N39*G39</f>
        <v>9.00276</v>
      </c>
      <c r="P39" s="1" t="n">
        <v>2</v>
      </c>
      <c r="Q39" s="1" t="n">
        <v>74</v>
      </c>
      <c r="R39" s="1" t="n">
        <v>66.1</v>
      </c>
      <c r="S39" s="1" t="n">
        <v>0.727</v>
      </c>
      <c r="T39" s="1" t="n">
        <v>10.6</v>
      </c>
      <c r="U39" s="1" t="n">
        <v>38.1</v>
      </c>
      <c r="V39" s="1" t="n">
        <v>7.9</v>
      </c>
      <c r="W39" s="1" t="n">
        <v>0.794</v>
      </c>
      <c r="X39" s="50" t="n">
        <v>770000</v>
      </c>
      <c r="Y39" s="50" t="n">
        <v>165000</v>
      </c>
      <c r="Z39" s="1" t="n">
        <v>1</v>
      </c>
      <c r="AA39" s="1" t="n">
        <v>0</v>
      </c>
      <c r="AB39" s="1" t="n">
        <v>0</v>
      </c>
      <c r="AC39" s="1" t="n">
        <v>10.6</v>
      </c>
      <c r="AD39" s="1" t="n">
        <v>5.2</v>
      </c>
    </row>
    <row r="40" customFormat="false" ht="12.75" hidden="false" customHeight="false" outlineLevel="0" collapsed="false">
      <c r="A40" s="1" t="s">
        <v>254</v>
      </c>
      <c r="B40" s="1" t="n">
        <v>0</v>
      </c>
      <c r="C40" s="1" t="n">
        <v>0.743</v>
      </c>
      <c r="D40" s="1" t="n">
        <v>1</v>
      </c>
      <c r="E40" s="1" t="n">
        <v>10.32</v>
      </c>
      <c r="F40" s="1" t="n">
        <v>0</v>
      </c>
      <c r="G40" s="1" t="n">
        <v>8.8</v>
      </c>
      <c r="H40" s="1" t="n">
        <v>0.429</v>
      </c>
      <c r="I40" s="1" t="n">
        <v>18</v>
      </c>
      <c r="J40" s="1" t="n">
        <v>2703</v>
      </c>
      <c r="K40" s="1" t="n">
        <v>189</v>
      </c>
      <c r="L40" s="1" t="n">
        <f aca="false">K40*3/J40</f>
        <v>0.20976692563818</v>
      </c>
      <c r="M40" s="1" t="n">
        <v>9</v>
      </c>
      <c r="N40" s="1" t="n">
        <v>0.5537</v>
      </c>
      <c r="O40" s="1" t="n">
        <f aca="false">N40*G40</f>
        <v>4.87256</v>
      </c>
      <c r="P40" s="1" t="n">
        <v>2</v>
      </c>
      <c r="Q40" s="1" t="n">
        <v>76.4</v>
      </c>
      <c r="R40" s="1" t="n">
        <v>67.7</v>
      </c>
      <c r="S40" s="1" t="n">
        <v>0.688</v>
      </c>
      <c r="T40" s="1" t="n">
        <v>11.8</v>
      </c>
      <c r="U40" s="1" t="n">
        <v>37.4</v>
      </c>
      <c r="V40" s="1" t="n">
        <v>8.8</v>
      </c>
      <c r="W40" s="1" t="n">
        <v>0.631</v>
      </c>
      <c r="X40" s="50" t="n">
        <v>391474</v>
      </c>
      <c r="Y40" s="50" t="n">
        <v>225000</v>
      </c>
      <c r="Z40" s="1" t="n">
        <v>4</v>
      </c>
      <c r="AA40" s="1" t="n">
        <v>0</v>
      </c>
      <c r="AB40" s="1" t="n">
        <v>0</v>
      </c>
      <c r="AC40" s="1" t="n">
        <v>12.7</v>
      </c>
      <c r="AD40" s="1" t="n">
        <v>6.3</v>
      </c>
    </row>
    <row r="41" customFormat="false" ht="12.75" hidden="false" customHeight="false" outlineLevel="0" collapsed="false">
      <c r="A41" s="1" t="s">
        <v>51</v>
      </c>
      <c r="B41" s="1" t="n">
        <v>1</v>
      </c>
      <c r="C41" s="1" t="n">
        <v>0.719</v>
      </c>
      <c r="D41" s="1" t="n">
        <v>7</v>
      </c>
      <c r="E41" s="1" t="n">
        <v>7.21</v>
      </c>
      <c r="F41" s="1" t="n">
        <v>0</v>
      </c>
      <c r="G41" s="1" t="n">
        <v>16.5</v>
      </c>
      <c r="H41" s="1" t="n">
        <v>0.556</v>
      </c>
      <c r="I41" s="1" t="n">
        <v>14</v>
      </c>
      <c r="J41" s="1" t="n">
        <v>2442</v>
      </c>
      <c r="K41" s="1" t="n">
        <v>134</v>
      </c>
      <c r="L41" s="1" t="n">
        <f aca="false">K41*3/J41</f>
        <v>0.164619164619165</v>
      </c>
      <c r="M41" s="1" t="n">
        <v>8</v>
      </c>
      <c r="N41" s="1" t="n">
        <v>0.5777</v>
      </c>
      <c r="O41" s="1" t="n">
        <f aca="false">N41*G41</f>
        <v>9.53205</v>
      </c>
      <c r="P41" s="1" t="n">
        <v>3</v>
      </c>
      <c r="Q41" s="1" t="n">
        <v>76.6</v>
      </c>
      <c r="R41" s="1" t="n">
        <v>69.8</v>
      </c>
      <c r="S41" s="1" t="n">
        <v>0.625</v>
      </c>
      <c r="T41" s="1" t="n">
        <v>14.1</v>
      </c>
      <c r="U41" s="1" t="n">
        <v>39.8</v>
      </c>
      <c r="V41" s="1" t="n">
        <v>6.8</v>
      </c>
      <c r="W41" s="1" t="n">
        <v>0.792</v>
      </c>
      <c r="X41" s="50" t="n">
        <v>1827945</v>
      </c>
      <c r="Y41" s="50" t="n">
        <v>112648</v>
      </c>
      <c r="Z41" s="1" t="n">
        <v>24</v>
      </c>
      <c r="AA41" s="1" t="n">
        <v>15</v>
      </c>
      <c r="AB41" s="1" t="n">
        <v>7</v>
      </c>
      <c r="AC41" s="1" t="n">
        <v>12</v>
      </c>
      <c r="AD41" s="1" t="n">
        <v>4.8</v>
      </c>
    </row>
    <row r="42" customFormat="false" ht="12.75" hidden="false" customHeight="false" outlineLevel="0" collapsed="false">
      <c r="A42" s="1" t="s">
        <v>331</v>
      </c>
      <c r="B42" s="1" t="n">
        <v>0</v>
      </c>
      <c r="C42" s="1" t="n">
        <v>0.848</v>
      </c>
      <c r="D42" s="1" t="n">
        <v>1</v>
      </c>
      <c r="E42" s="1" t="n">
        <v>15.44</v>
      </c>
      <c r="F42" s="1" t="n">
        <v>0</v>
      </c>
      <c r="G42" s="1" t="n">
        <v>8.4</v>
      </c>
      <c r="H42" s="1" t="n">
        <v>0.667</v>
      </c>
      <c r="I42" s="1" t="n">
        <v>21</v>
      </c>
      <c r="J42" s="1" t="n">
        <v>2438</v>
      </c>
      <c r="K42" s="1" t="n">
        <v>179</v>
      </c>
      <c r="L42" s="1" t="n">
        <f aca="false">K42*3/J42</f>
        <v>0.220262510254307</v>
      </c>
      <c r="M42" s="1" t="n">
        <v>10</v>
      </c>
      <c r="N42" s="1" t="n">
        <v>0.5539</v>
      </c>
      <c r="O42" s="1" t="n">
        <f aca="false">N42*G42</f>
        <v>4.65276</v>
      </c>
      <c r="P42" s="1" t="n">
        <v>0</v>
      </c>
      <c r="Q42" s="1" t="n">
        <v>72.3</v>
      </c>
      <c r="R42" s="1" t="n">
        <v>60.3</v>
      </c>
      <c r="S42" s="1" t="n">
        <v>0.727</v>
      </c>
      <c r="T42" s="1" t="n">
        <v>11.8</v>
      </c>
      <c r="U42" s="1" t="n">
        <v>34.2</v>
      </c>
      <c r="V42" s="55" t="n">
        <v>12</v>
      </c>
      <c r="W42" s="1" t="n">
        <v>0.571</v>
      </c>
      <c r="X42" s="50" t="n">
        <v>195567</v>
      </c>
      <c r="Y42" s="50" t="n">
        <v>84633</v>
      </c>
      <c r="Z42" s="1" t="n">
        <v>1</v>
      </c>
      <c r="AA42" s="1" t="n">
        <v>0</v>
      </c>
      <c r="AB42" s="1" t="n">
        <v>0</v>
      </c>
      <c r="AC42" s="1" t="n">
        <v>11.6</v>
      </c>
      <c r="AD42" s="1" t="n">
        <v>4</v>
      </c>
    </row>
    <row r="43" customFormat="false" ht="12.75" hidden="false" customHeight="false" outlineLevel="0" collapsed="false">
      <c r="A43" s="54" t="s">
        <v>332</v>
      </c>
      <c r="B43" s="1" t="n">
        <v>0</v>
      </c>
      <c r="C43" s="1" t="n">
        <v>0.618</v>
      </c>
      <c r="D43" s="1" t="n">
        <v>3</v>
      </c>
      <c r="E43" s="1" t="n">
        <v>1.36</v>
      </c>
      <c r="F43" s="1" t="n">
        <v>0</v>
      </c>
      <c r="G43" s="1" t="n">
        <v>10.2</v>
      </c>
      <c r="H43" s="1" t="n">
        <v>0.6</v>
      </c>
      <c r="I43" s="1" t="n">
        <v>11</v>
      </c>
      <c r="J43" s="1" t="n">
        <v>2407</v>
      </c>
      <c r="K43" s="1" t="n">
        <v>152</v>
      </c>
      <c r="L43" s="1" t="n">
        <f aca="false">K43*3/J43</f>
        <v>0.189447444952223</v>
      </c>
      <c r="M43" s="1" t="n">
        <v>5</v>
      </c>
      <c r="N43" s="1" t="n">
        <v>0.5965</v>
      </c>
      <c r="O43" s="1" t="n">
        <f aca="false">N43*G43</f>
        <v>6.0843</v>
      </c>
      <c r="P43" s="1" t="n">
        <v>2</v>
      </c>
      <c r="Q43" s="1" t="n">
        <v>71.1</v>
      </c>
      <c r="R43" s="1" t="n">
        <v>69.6</v>
      </c>
      <c r="S43" s="1" t="n">
        <v>0.661</v>
      </c>
      <c r="T43" s="1" t="n">
        <v>11.9</v>
      </c>
      <c r="U43" s="1" t="n">
        <v>34.7</v>
      </c>
      <c r="V43" s="55" t="n">
        <v>1.6</v>
      </c>
      <c r="W43" s="1" t="n">
        <v>0.643</v>
      </c>
      <c r="X43" s="50" t="n">
        <v>2009000</v>
      </c>
      <c r="Y43" s="50" t="n">
        <v>1328250</v>
      </c>
      <c r="Z43" s="1" t="n">
        <v>10</v>
      </c>
      <c r="AA43" s="1" t="n">
        <v>2</v>
      </c>
      <c r="AB43" s="1" t="n">
        <v>0</v>
      </c>
      <c r="AC43" s="1" t="n">
        <v>10.4</v>
      </c>
      <c r="AD43" s="1" t="n">
        <v>4.1</v>
      </c>
    </row>
    <row r="44" customFormat="false" ht="12.75" hidden="false" customHeight="false" outlineLevel="0" collapsed="false">
      <c r="A44" s="1" t="s">
        <v>255</v>
      </c>
      <c r="B44" s="1" t="n">
        <v>1</v>
      </c>
      <c r="C44" s="1" t="n">
        <v>0.806</v>
      </c>
      <c r="D44" s="1" t="n">
        <v>2</v>
      </c>
      <c r="E44" s="1" t="n">
        <v>11.1</v>
      </c>
      <c r="F44" s="1" t="n">
        <v>0</v>
      </c>
      <c r="G44" s="1" t="n">
        <v>18</v>
      </c>
      <c r="H44" s="1" t="n">
        <v>0.75</v>
      </c>
      <c r="I44" s="1" t="n">
        <v>21</v>
      </c>
      <c r="J44" s="1" t="n">
        <v>2368</v>
      </c>
      <c r="K44" s="1" t="n">
        <v>168</v>
      </c>
      <c r="L44" s="1" t="n">
        <f aca="false">K44*3/J44</f>
        <v>0.212837837837838</v>
      </c>
      <c r="M44" s="1" t="n">
        <v>9</v>
      </c>
      <c r="N44" s="1" t="n">
        <v>0.5692</v>
      </c>
      <c r="O44" s="1" t="n">
        <f aca="false">N44*G44</f>
        <v>10.2456</v>
      </c>
      <c r="P44" s="1" t="n">
        <v>0</v>
      </c>
      <c r="Q44" s="1" t="n">
        <v>73.1</v>
      </c>
      <c r="R44" s="1" t="n">
        <v>67.6</v>
      </c>
      <c r="S44" s="1" t="n">
        <v>0.747</v>
      </c>
      <c r="T44" s="1" t="n">
        <v>9.5</v>
      </c>
      <c r="U44" s="1" t="n">
        <v>30.7</v>
      </c>
      <c r="V44" s="1" t="n">
        <v>6.3</v>
      </c>
      <c r="W44" s="1" t="n">
        <v>0.615</v>
      </c>
      <c r="X44" s="50" t="n">
        <v>188547</v>
      </c>
      <c r="Y44" s="50" t="n">
        <v>55000</v>
      </c>
      <c r="Z44" s="1" t="n">
        <v>2</v>
      </c>
      <c r="AA44" s="1" t="n">
        <v>0</v>
      </c>
      <c r="AB44" s="1" t="n">
        <v>0</v>
      </c>
      <c r="AC44" s="1" t="n">
        <v>9.8</v>
      </c>
      <c r="AD44" s="1" t="n">
        <v>4.4</v>
      </c>
    </row>
    <row r="45" customFormat="false" ht="12.75" hidden="false" customHeight="false" outlineLevel="0" collapsed="false">
      <c r="A45" s="1" t="s">
        <v>41</v>
      </c>
      <c r="B45" s="1" t="n">
        <v>0</v>
      </c>
      <c r="C45" s="1" t="n">
        <v>0.735</v>
      </c>
      <c r="D45" s="1" t="n">
        <v>8</v>
      </c>
      <c r="E45" s="1" t="n">
        <v>10.18</v>
      </c>
      <c r="F45" s="1" t="n">
        <v>0</v>
      </c>
      <c r="G45" s="1" t="n">
        <v>17.3</v>
      </c>
      <c r="H45" s="1" t="n">
        <v>0.556</v>
      </c>
      <c r="I45" s="1" t="n">
        <v>20</v>
      </c>
      <c r="J45" s="1" t="n">
        <v>2373</v>
      </c>
      <c r="K45" s="1" t="n">
        <v>197</v>
      </c>
      <c r="L45" s="1" t="n">
        <f aca="false">K45*3/J45</f>
        <v>0.24905183312263</v>
      </c>
      <c r="M45" s="1" t="n">
        <v>6</v>
      </c>
      <c r="N45" s="1" t="n">
        <v>0.5792</v>
      </c>
      <c r="O45" s="1" t="n">
        <f aca="false">N45*G45</f>
        <v>10.02016</v>
      </c>
      <c r="P45" s="1" t="n">
        <v>3</v>
      </c>
      <c r="Q45" s="1" t="n">
        <v>69.5</v>
      </c>
      <c r="R45" s="1" t="n">
        <v>67.3</v>
      </c>
      <c r="S45" s="1" t="n">
        <v>0.689</v>
      </c>
      <c r="T45" s="1" t="n">
        <v>10.1</v>
      </c>
      <c r="U45" s="1" t="n">
        <v>35.3</v>
      </c>
      <c r="V45" s="1" t="n">
        <v>9.7</v>
      </c>
      <c r="W45" s="1" t="n">
        <v>0.768</v>
      </c>
      <c r="X45" s="50" t="n">
        <v>3282000</v>
      </c>
      <c r="Y45" s="50" t="n">
        <v>410000</v>
      </c>
      <c r="Z45" s="1" t="n">
        <v>12</v>
      </c>
      <c r="AA45" s="1" t="n">
        <v>6</v>
      </c>
      <c r="AB45" s="1" t="n">
        <v>2</v>
      </c>
      <c r="AC45" s="1" t="n">
        <v>11.2</v>
      </c>
      <c r="AD45" s="1" t="n">
        <v>4.5</v>
      </c>
    </row>
    <row r="46" customFormat="false" ht="12.75" hidden="false" customHeight="false" outlineLevel="0" collapsed="false">
      <c r="A46" s="1" t="s">
        <v>85</v>
      </c>
      <c r="B46" s="1" t="n">
        <v>0</v>
      </c>
      <c r="C46" s="1" t="n">
        <v>0.719</v>
      </c>
      <c r="D46" s="1" t="n">
        <v>10</v>
      </c>
      <c r="E46" s="1" t="n">
        <v>6.3</v>
      </c>
      <c r="F46" s="1" t="n">
        <v>0</v>
      </c>
      <c r="G46" s="1" t="n">
        <v>16.7</v>
      </c>
      <c r="H46" s="1" t="n">
        <v>0.667</v>
      </c>
      <c r="I46" s="1" t="n">
        <v>13</v>
      </c>
      <c r="J46" s="1" t="n">
        <v>2629</v>
      </c>
      <c r="K46" s="1" t="n">
        <v>273</v>
      </c>
      <c r="L46" s="1" t="n">
        <f aca="false">K46*3/J46</f>
        <v>0.311525294788893</v>
      </c>
      <c r="M46" s="1" t="n">
        <v>4</v>
      </c>
      <c r="N46" s="1" t="n">
        <v>0.5402</v>
      </c>
      <c r="O46" s="1" t="n">
        <f aca="false">N46*G46</f>
        <v>9.02134</v>
      </c>
      <c r="P46" s="1" t="n">
        <v>1</v>
      </c>
      <c r="Q46" s="1" t="n">
        <v>81.9</v>
      </c>
      <c r="R46" s="1" t="n">
        <v>76</v>
      </c>
      <c r="S46" s="1" t="n">
        <v>0.75</v>
      </c>
      <c r="T46" s="1" t="n">
        <v>11.9</v>
      </c>
      <c r="U46" s="1" t="n">
        <v>37.7</v>
      </c>
      <c r="V46" s="1" t="n">
        <v>5.9</v>
      </c>
      <c r="W46" s="1" t="n">
        <v>0.611</v>
      </c>
      <c r="X46" s="50" t="n">
        <v>2200000</v>
      </c>
      <c r="Y46" s="50" t="n">
        <v>270000</v>
      </c>
      <c r="Z46" s="1" t="n">
        <v>15</v>
      </c>
      <c r="AA46" s="1" t="n">
        <v>3</v>
      </c>
      <c r="AB46" s="1" t="n">
        <v>1</v>
      </c>
      <c r="AC46" s="1" t="n">
        <v>11.4</v>
      </c>
      <c r="AD46" s="1" t="n">
        <v>3.3</v>
      </c>
    </row>
    <row r="47" customFormat="false" ht="12.75" hidden="false" customHeight="false" outlineLevel="0" collapsed="false">
      <c r="A47" s="1" t="s">
        <v>258</v>
      </c>
      <c r="B47" s="1" t="n">
        <v>0</v>
      </c>
      <c r="C47" s="1" t="n">
        <v>0.636</v>
      </c>
      <c r="D47" s="1" t="n">
        <v>6</v>
      </c>
      <c r="E47" s="1" t="n">
        <v>11.2</v>
      </c>
      <c r="F47" s="1" t="n">
        <v>0</v>
      </c>
      <c r="G47" s="1" t="n">
        <v>18</v>
      </c>
      <c r="H47" s="1" t="n">
        <v>0.3</v>
      </c>
      <c r="I47" s="1" t="n">
        <v>16</v>
      </c>
      <c r="J47" s="1" t="n">
        <v>2651</v>
      </c>
      <c r="K47" s="1" t="n">
        <v>236</v>
      </c>
      <c r="L47" s="1" t="n">
        <f aca="false">K47*3/J47</f>
        <v>0.267069030554508</v>
      </c>
      <c r="M47" s="1" t="n">
        <v>5</v>
      </c>
      <c r="N47" s="1" t="n">
        <v>0.5986</v>
      </c>
      <c r="O47" s="1" t="n">
        <f aca="false">N47*G47</f>
        <v>10.7748</v>
      </c>
      <c r="P47" s="1" t="n">
        <v>1</v>
      </c>
      <c r="Q47" s="1" t="n">
        <v>80.2</v>
      </c>
      <c r="R47" s="1" t="n">
        <v>69.6</v>
      </c>
      <c r="S47" s="1" t="n">
        <v>0.724</v>
      </c>
      <c r="T47" s="1" t="n">
        <v>9.5</v>
      </c>
      <c r="U47" s="1" t="n">
        <v>35.4</v>
      </c>
      <c r="V47" s="1" t="n">
        <v>10.7</v>
      </c>
      <c r="W47" s="1" t="n">
        <v>0.564</v>
      </c>
      <c r="X47" s="50" t="n">
        <v>2450000</v>
      </c>
      <c r="Y47" s="50" t="n">
        <v>0</v>
      </c>
      <c r="Z47" s="1" t="n">
        <v>5</v>
      </c>
      <c r="AA47" s="1" t="n">
        <v>0</v>
      </c>
      <c r="AB47" s="1" t="n">
        <v>0</v>
      </c>
      <c r="AC47" s="1" t="n">
        <v>10.4</v>
      </c>
      <c r="AD47" s="1" t="n">
        <v>4.8</v>
      </c>
    </row>
    <row r="48" customFormat="false" ht="12.75" hidden="false" customHeight="false" outlineLevel="0" collapsed="false">
      <c r="A48" s="1" t="s">
        <v>123</v>
      </c>
      <c r="B48" s="1" t="n">
        <v>1</v>
      </c>
      <c r="C48" s="1" t="n">
        <v>0.719</v>
      </c>
      <c r="D48" s="1" t="n">
        <v>5</v>
      </c>
      <c r="E48" s="1" t="n">
        <v>7.8</v>
      </c>
      <c r="F48" s="1" t="n">
        <v>0</v>
      </c>
      <c r="G48" s="1" t="n">
        <v>16.6</v>
      </c>
      <c r="H48" s="1" t="n">
        <v>0.375</v>
      </c>
      <c r="I48" s="1" t="n">
        <v>19</v>
      </c>
      <c r="J48" s="1" t="n">
        <v>2619</v>
      </c>
      <c r="K48" s="1" t="n">
        <v>249</v>
      </c>
      <c r="L48" s="1" t="n">
        <f aca="false">K48*3/J48</f>
        <v>0.285223367697594</v>
      </c>
      <c r="M48" s="1" t="n">
        <v>8</v>
      </c>
      <c r="N48" s="1" t="n">
        <v>0.5763</v>
      </c>
      <c r="O48" s="1" t="n">
        <f aca="false">N48*G48</f>
        <v>9.56658</v>
      </c>
      <c r="P48" s="1" t="n">
        <v>1</v>
      </c>
      <c r="Q48" s="1" t="n">
        <v>81.9</v>
      </c>
      <c r="R48" s="1" t="n">
        <v>74.1</v>
      </c>
      <c r="S48" s="1" t="n">
        <v>0.766</v>
      </c>
      <c r="T48" s="1" t="n">
        <v>10.8</v>
      </c>
      <c r="U48" s="1" t="n">
        <v>34.1</v>
      </c>
      <c r="V48" s="1" t="n">
        <v>7.7</v>
      </c>
      <c r="W48" s="1" t="n">
        <v>0.636</v>
      </c>
      <c r="X48" s="50" t="n">
        <v>2000000</v>
      </c>
      <c r="Y48" s="50" t="n">
        <v>820000</v>
      </c>
      <c r="Z48" s="1" t="n">
        <v>10</v>
      </c>
      <c r="AA48" s="1" t="n">
        <v>1</v>
      </c>
      <c r="AB48" s="1" t="n">
        <v>0</v>
      </c>
      <c r="AC48" s="1" t="n">
        <v>11.7</v>
      </c>
      <c r="AD48" s="1" t="n">
        <v>3.4</v>
      </c>
    </row>
    <row r="49" customFormat="false" ht="12.75" hidden="false" customHeight="false" outlineLevel="0" collapsed="false">
      <c r="A49" s="1" t="s">
        <v>197</v>
      </c>
      <c r="B49" s="1" t="n">
        <v>1</v>
      </c>
      <c r="C49" s="1" t="n">
        <v>0.735</v>
      </c>
      <c r="D49" s="1" t="n">
        <v>5</v>
      </c>
      <c r="E49" s="1" t="n">
        <v>10.13</v>
      </c>
      <c r="F49" s="1" t="n">
        <v>0</v>
      </c>
      <c r="G49" s="1" t="n">
        <v>18.7</v>
      </c>
      <c r="H49" s="1" t="n">
        <v>0.462</v>
      </c>
      <c r="I49" s="1" t="n">
        <v>15</v>
      </c>
      <c r="J49" s="1" t="n">
        <v>2464</v>
      </c>
      <c r="K49" s="1" t="n">
        <v>175</v>
      </c>
      <c r="L49" s="1" t="n">
        <f aca="false">K49*3/J49</f>
        <v>0.213068181818182</v>
      </c>
      <c r="M49" s="1" t="n">
        <v>5</v>
      </c>
      <c r="N49" s="1" t="n">
        <v>0.5727</v>
      </c>
      <c r="O49" s="1" t="n">
        <f aca="false">N49*G49</f>
        <v>10.70949</v>
      </c>
      <c r="P49" s="1" t="n">
        <v>2</v>
      </c>
      <c r="Q49" s="1" t="n">
        <v>71.8</v>
      </c>
      <c r="R49" s="1" t="n">
        <v>61.9</v>
      </c>
      <c r="S49" s="1" t="n">
        <v>0.711</v>
      </c>
      <c r="T49" s="1" t="n">
        <v>12.1</v>
      </c>
      <c r="U49" s="1" t="n">
        <v>36.1</v>
      </c>
      <c r="V49" s="1" t="n">
        <v>9.9</v>
      </c>
      <c r="W49" s="1" t="n">
        <v>0.75</v>
      </c>
      <c r="X49" s="50" t="n">
        <v>2445682</v>
      </c>
      <c r="Y49" s="50"/>
      <c r="Z49" s="1" t="n">
        <v>10</v>
      </c>
      <c r="AA49" s="1" t="n">
        <v>3</v>
      </c>
      <c r="AB49" s="1" t="n">
        <v>0</v>
      </c>
      <c r="AC49" s="1" t="n">
        <v>10.6</v>
      </c>
      <c r="AD49" s="1" t="n">
        <v>3</v>
      </c>
    </row>
    <row r="50" customFormat="false" ht="12.75" hidden="false" customHeight="false" outlineLevel="0" collapsed="false">
      <c r="A50" s="1" t="s">
        <v>50</v>
      </c>
      <c r="B50" s="1" t="n">
        <v>0</v>
      </c>
      <c r="C50" s="1" t="n">
        <v>0.676</v>
      </c>
      <c r="D50" s="1" t="n">
        <v>3</v>
      </c>
      <c r="E50" s="1" t="n">
        <v>3.68</v>
      </c>
      <c r="F50" s="1" t="n">
        <v>1</v>
      </c>
      <c r="G50" s="1" t="n">
        <v>12.8</v>
      </c>
      <c r="H50" s="1" t="n">
        <v>0.692</v>
      </c>
      <c r="I50" s="1" t="n">
        <v>18</v>
      </c>
      <c r="J50" s="1" t="n">
        <v>2489</v>
      </c>
      <c r="K50" s="1" t="n">
        <v>214</v>
      </c>
      <c r="L50" s="1" t="n">
        <f aca="false">K50*3/J50</f>
        <v>0.257934913619928</v>
      </c>
      <c r="M50" s="1" t="n">
        <v>7</v>
      </c>
      <c r="N50" s="1" t="n">
        <v>0.5757</v>
      </c>
      <c r="O50" s="1" t="n">
        <f aca="false">N50*G50</f>
        <v>7.36896</v>
      </c>
      <c r="P50" s="1" t="n">
        <v>1</v>
      </c>
      <c r="Q50" s="1" t="n">
        <v>73.3</v>
      </c>
      <c r="R50" s="1" t="n">
        <v>69.8</v>
      </c>
      <c r="S50" s="1" t="n">
        <v>0.781</v>
      </c>
      <c r="T50" s="1" t="n">
        <v>12.4</v>
      </c>
      <c r="U50" s="1" t="n">
        <v>36.5</v>
      </c>
      <c r="V50" s="1" t="n">
        <v>3.5</v>
      </c>
      <c r="W50" s="1" t="n">
        <v>0.569</v>
      </c>
      <c r="X50" s="50" t="n">
        <v>783518</v>
      </c>
      <c r="Y50" s="50"/>
      <c r="Z50" s="1" t="n">
        <v>1</v>
      </c>
      <c r="AA50" s="1" t="n">
        <v>0</v>
      </c>
      <c r="AB50" s="1" t="n">
        <v>0</v>
      </c>
      <c r="AC50" s="1" t="n">
        <v>11.6</v>
      </c>
      <c r="AD50" s="1" t="n">
        <v>4.9</v>
      </c>
    </row>
    <row r="51" customFormat="false" ht="12.75" hidden="false" customHeight="false" outlineLevel="0" collapsed="false">
      <c r="A51" s="1" t="s">
        <v>333</v>
      </c>
      <c r="B51" s="1" t="n">
        <v>1</v>
      </c>
      <c r="C51" s="1" t="n">
        <v>0.813</v>
      </c>
      <c r="D51" s="1" t="n">
        <v>6</v>
      </c>
      <c r="E51" s="1" t="n">
        <v>8.82</v>
      </c>
      <c r="F51" s="1" t="n">
        <v>0</v>
      </c>
      <c r="G51" s="1" t="n">
        <v>13.4</v>
      </c>
      <c r="H51" s="1" t="n">
        <v>0.7</v>
      </c>
      <c r="I51" s="1" t="n">
        <v>22</v>
      </c>
      <c r="J51" s="1" t="n">
        <v>2240</v>
      </c>
      <c r="K51" s="1" t="n">
        <v>181</v>
      </c>
      <c r="L51" s="1" t="n">
        <f aca="false">K51*3/J51</f>
        <v>0.242410714285714</v>
      </c>
      <c r="M51" s="1" t="n">
        <v>6</v>
      </c>
      <c r="N51" s="1" t="n">
        <v>0.5893</v>
      </c>
      <c r="O51" s="1" t="n">
        <f aca="false">N51*G51</f>
        <v>7.89662</v>
      </c>
      <c r="P51" s="1" t="n">
        <v>2</v>
      </c>
      <c r="Q51" s="1" t="n">
        <v>69.9</v>
      </c>
      <c r="R51" s="1" t="n">
        <v>62.5</v>
      </c>
      <c r="S51" s="1" t="n">
        <v>0.708</v>
      </c>
      <c r="T51" s="1" t="n">
        <v>10.2</v>
      </c>
      <c r="U51" s="1" t="n">
        <v>35.8</v>
      </c>
      <c r="V51" s="1" t="n">
        <v>7.4</v>
      </c>
      <c r="W51" s="1" t="n">
        <v>0.529</v>
      </c>
      <c r="X51" s="50"/>
      <c r="Y51" s="50"/>
      <c r="Z51" s="1" t="n">
        <v>6</v>
      </c>
      <c r="AA51" s="1" t="n">
        <v>0</v>
      </c>
      <c r="AB51" s="1" t="n">
        <v>0</v>
      </c>
      <c r="AC51" s="1" t="n">
        <v>12.6</v>
      </c>
      <c r="AD51" s="1" t="n">
        <v>4.2</v>
      </c>
    </row>
    <row r="52" customFormat="false" ht="12.75" hidden="false" customHeight="false" outlineLevel="0" collapsed="false">
      <c r="A52" s="1" t="s">
        <v>260</v>
      </c>
      <c r="B52" s="1" t="n">
        <v>2</v>
      </c>
      <c r="C52" s="1" t="n">
        <v>0.879</v>
      </c>
      <c r="D52" s="1" t="n">
        <v>3</v>
      </c>
      <c r="E52" s="1" t="n">
        <v>13.96</v>
      </c>
      <c r="F52" s="1" t="n">
        <v>0</v>
      </c>
      <c r="G52" s="1" t="n">
        <v>17.1</v>
      </c>
      <c r="H52" s="1" t="n">
        <v>1</v>
      </c>
      <c r="I52" s="1" t="n">
        <v>16</v>
      </c>
      <c r="J52" s="1" t="n">
        <v>2330</v>
      </c>
      <c r="K52" s="1" t="n">
        <v>169</v>
      </c>
      <c r="L52" s="1" t="n">
        <f aca="false">K52*3/J52</f>
        <v>0.217596566523605</v>
      </c>
      <c r="M52" s="1" t="n">
        <v>8</v>
      </c>
      <c r="N52" s="1" t="n">
        <v>0.5696</v>
      </c>
      <c r="O52" s="1" t="n">
        <f aca="false">N52*G52</f>
        <v>9.74016</v>
      </c>
      <c r="P52" s="1" t="n">
        <v>3</v>
      </c>
      <c r="Q52" s="1" t="n">
        <v>68.2</v>
      </c>
      <c r="R52" s="1" t="n">
        <v>58.1</v>
      </c>
      <c r="S52" s="1" t="n">
        <v>0.653</v>
      </c>
      <c r="T52" s="1" t="n">
        <v>13.2</v>
      </c>
      <c r="U52" s="1" t="n">
        <v>36.9</v>
      </c>
      <c r="V52" s="1" t="n">
        <v>10.1</v>
      </c>
      <c r="W52" s="1" t="n">
        <v>0.659</v>
      </c>
      <c r="X52" s="50" t="n">
        <v>909250</v>
      </c>
      <c r="Y52" s="50" t="n">
        <v>160000</v>
      </c>
      <c r="Z52" s="1" t="n">
        <v>14</v>
      </c>
      <c r="AA52" s="1" t="n">
        <v>6</v>
      </c>
      <c r="AB52" s="1" t="n">
        <v>3</v>
      </c>
      <c r="AC52" s="1" t="n">
        <v>9.9</v>
      </c>
      <c r="AD52" s="1" t="n">
        <v>5.2</v>
      </c>
    </row>
    <row r="53" customFormat="false" ht="12.75" hidden="false" customHeight="false" outlineLevel="0" collapsed="false">
      <c r="A53" s="1" t="s">
        <v>334</v>
      </c>
      <c r="B53" s="1" t="n">
        <v>0</v>
      </c>
      <c r="C53" s="1" t="n">
        <v>0.727</v>
      </c>
      <c r="D53" s="1" t="n">
        <v>6</v>
      </c>
      <c r="E53" s="1" t="n">
        <v>4.33</v>
      </c>
      <c r="F53" s="1" t="n">
        <v>0</v>
      </c>
      <c r="G53" s="1" t="n">
        <v>11.6</v>
      </c>
      <c r="H53" s="1" t="n">
        <v>0.727</v>
      </c>
      <c r="I53" s="1" t="n">
        <v>19</v>
      </c>
      <c r="J53" s="1" t="n">
        <v>2352</v>
      </c>
      <c r="K53" s="1" t="n">
        <v>243</v>
      </c>
      <c r="L53" s="1" t="n">
        <f aca="false">K53*3/J53</f>
        <v>0.309948979591837</v>
      </c>
      <c r="M53" s="1" t="n">
        <v>8</v>
      </c>
      <c r="N53" s="1" t="n">
        <v>0.5966</v>
      </c>
      <c r="O53" s="1" t="n">
        <f aca="false">N53*G53</f>
        <v>6.92056</v>
      </c>
      <c r="P53" s="1" t="n">
        <v>0</v>
      </c>
      <c r="Q53" s="1" t="n">
        <v>71.6</v>
      </c>
      <c r="R53" s="1" t="n">
        <v>67.6</v>
      </c>
      <c r="S53" s="1" t="n">
        <v>0.644</v>
      </c>
      <c r="T53" s="1" t="n">
        <v>9.7</v>
      </c>
      <c r="U53" s="1" t="n">
        <v>35.8</v>
      </c>
      <c r="V53" s="1" t="n">
        <v>4</v>
      </c>
      <c r="W53" s="1" t="n">
        <v>0.594</v>
      </c>
      <c r="X53" s="50" t="n">
        <v>902651</v>
      </c>
      <c r="Y53" s="50"/>
      <c r="Z53" s="1" t="n">
        <v>6</v>
      </c>
      <c r="AA53" s="1" t="n">
        <v>2</v>
      </c>
      <c r="AB53" s="1" t="n">
        <v>0</v>
      </c>
      <c r="AC53" s="1" t="n">
        <v>12.3</v>
      </c>
      <c r="AD53" s="1" t="n">
        <v>4.6</v>
      </c>
    </row>
    <row r="54" customFormat="false" ht="12.75" hidden="false" customHeight="false" outlineLevel="0" collapsed="false">
      <c r="A54" s="1" t="s">
        <v>335</v>
      </c>
      <c r="B54" s="1" t="n">
        <v>2</v>
      </c>
      <c r="C54" s="1" t="n">
        <v>0.636</v>
      </c>
      <c r="D54" s="1" t="n">
        <v>7</v>
      </c>
      <c r="E54" s="1" t="n">
        <v>4.87</v>
      </c>
      <c r="F54" s="1" t="n">
        <v>0</v>
      </c>
      <c r="G54" s="1" t="n">
        <v>13.8</v>
      </c>
      <c r="H54" s="1" t="n">
        <v>0.5</v>
      </c>
      <c r="I54" s="1" t="n">
        <v>21</v>
      </c>
      <c r="J54" s="1" t="n">
        <v>2426</v>
      </c>
      <c r="K54" s="1" t="n">
        <v>195</v>
      </c>
      <c r="L54" s="1" t="n">
        <f aca="false">K54*3/J54</f>
        <v>0.24113767518549</v>
      </c>
      <c r="M54" s="1" t="n">
        <v>6</v>
      </c>
      <c r="N54" s="1" t="n">
        <v>0.5706</v>
      </c>
      <c r="O54" s="1" t="n">
        <f aca="false">N54*G54</f>
        <v>7.87428</v>
      </c>
      <c r="P54" s="1" t="n">
        <v>0</v>
      </c>
      <c r="Q54" s="1" t="n">
        <v>72.7</v>
      </c>
      <c r="R54" s="1" t="n">
        <v>68.2</v>
      </c>
      <c r="S54" s="1" t="n">
        <v>0.703</v>
      </c>
      <c r="T54" s="1" t="n">
        <v>9.7</v>
      </c>
      <c r="U54" s="1" t="n">
        <v>34.9</v>
      </c>
      <c r="V54" s="1" t="n">
        <v>4.4</v>
      </c>
      <c r="W54" s="1" t="n">
        <v>0.574</v>
      </c>
      <c r="X54" s="50"/>
      <c r="Y54" s="50"/>
      <c r="Z54" s="1" t="n">
        <v>1</v>
      </c>
      <c r="AA54" s="1" t="n">
        <v>1</v>
      </c>
      <c r="AB54" s="1" t="n">
        <v>0</v>
      </c>
      <c r="AC54" s="1" t="n">
        <v>11.2</v>
      </c>
      <c r="AD54" s="1" t="n">
        <v>4.2</v>
      </c>
    </row>
    <row r="55" customFormat="false" ht="12.75" hidden="false" customHeight="false" outlineLevel="0" collapsed="false">
      <c r="A55" s="1" t="s">
        <v>262</v>
      </c>
      <c r="B55" s="1" t="n">
        <v>1</v>
      </c>
      <c r="C55" s="1" t="n">
        <v>0.939</v>
      </c>
      <c r="D55" s="1" t="n">
        <v>0</v>
      </c>
      <c r="E55" s="1" t="n">
        <v>13.88</v>
      </c>
      <c r="F55" s="1" t="n">
        <v>0</v>
      </c>
      <c r="G55" s="1" t="n">
        <v>11.1</v>
      </c>
      <c r="H55" s="1" t="n">
        <v>1</v>
      </c>
      <c r="I55" s="1" t="n">
        <v>19</v>
      </c>
      <c r="J55" s="1" t="n">
        <v>2524</v>
      </c>
      <c r="K55" s="1" t="n">
        <v>235</v>
      </c>
      <c r="L55" s="1" t="n">
        <f aca="false">K55*3/J55</f>
        <v>0.27931854199683</v>
      </c>
      <c r="M55" s="1" t="n">
        <v>10</v>
      </c>
      <c r="N55" s="1" t="n">
        <v>0.549</v>
      </c>
      <c r="O55" s="1" t="n">
        <f aca="false">N55*G55</f>
        <v>6.0939</v>
      </c>
      <c r="P55" s="1" t="n">
        <v>0</v>
      </c>
      <c r="Q55" s="1" t="n">
        <v>75.4</v>
      </c>
      <c r="R55" s="1" t="n">
        <v>63.8</v>
      </c>
      <c r="S55" s="1" t="n">
        <v>0.708</v>
      </c>
      <c r="T55" s="1" t="n">
        <v>13</v>
      </c>
      <c r="U55" s="1" t="n">
        <v>33.7</v>
      </c>
      <c r="V55" s="1" t="n">
        <v>11.6</v>
      </c>
      <c r="W55" s="1" t="n">
        <v>0.914</v>
      </c>
      <c r="X55" s="50" t="n">
        <v>200000</v>
      </c>
      <c r="Y55" s="50" t="n">
        <v>70750</v>
      </c>
      <c r="Z55" s="1" t="n">
        <v>1</v>
      </c>
      <c r="AA55" s="1" t="n">
        <v>0</v>
      </c>
      <c r="AB55" s="1" t="n">
        <v>0</v>
      </c>
      <c r="AC55" s="1" t="n">
        <v>11.2</v>
      </c>
      <c r="AD55" s="1" t="n">
        <v>3.1</v>
      </c>
    </row>
    <row r="56" customFormat="false" ht="12.75" hidden="false" customHeight="false" outlineLevel="0" collapsed="false">
      <c r="A56" s="1" t="s">
        <v>81</v>
      </c>
      <c r="B56" s="1" t="n">
        <v>1</v>
      </c>
      <c r="C56" s="1" t="n">
        <v>0.844</v>
      </c>
      <c r="D56" s="1" t="n">
        <v>7</v>
      </c>
      <c r="E56" s="1" t="n">
        <v>8.63</v>
      </c>
      <c r="F56" s="1" t="n">
        <v>0</v>
      </c>
      <c r="G56" s="1" t="n">
        <v>19.1</v>
      </c>
      <c r="H56" s="1" t="n">
        <v>0.7</v>
      </c>
      <c r="I56" s="1" t="n">
        <v>16</v>
      </c>
      <c r="J56" s="1" t="n">
        <v>2181</v>
      </c>
      <c r="K56" s="1" t="n">
        <v>160</v>
      </c>
      <c r="L56" s="1" t="n">
        <f aca="false">K56*3/J56</f>
        <v>0.220082530949106</v>
      </c>
      <c r="M56" s="1" t="n">
        <v>5</v>
      </c>
      <c r="N56" s="1" t="n">
        <v>0.5678</v>
      </c>
      <c r="O56" s="1" t="n">
        <f aca="false">N56*G56</f>
        <v>10.84498</v>
      </c>
      <c r="P56" s="1" t="n">
        <v>3</v>
      </c>
      <c r="Q56" s="1" t="n">
        <v>68</v>
      </c>
      <c r="R56" s="1" t="n">
        <v>59.2</v>
      </c>
      <c r="S56" s="1" t="n">
        <v>0.703</v>
      </c>
      <c r="T56" s="1" t="n">
        <v>13.2</v>
      </c>
      <c r="U56" s="1" t="n">
        <v>35.5</v>
      </c>
      <c r="V56" s="1" t="n">
        <v>8.8</v>
      </c>
      <c r="W56" s="1" t="n">
        <v>0.748</v>
      </c>
      <c r="X56" s="50" t="n">
        <v>1818661</v>
      </c>
      <c r="Y56" s="50"/>
      <c r="Z56" s="1" t="n">
        <v>31</v>
      </c>
      <c r="AA56" s="1" t="n">
        <v>17</v>
      </c>
      <c r="AB56" s="1" t="n">
        <v>4</v>
      </c>
      <c r="AC56" s="1" t="n">
        <v>8.9</v>
      </c>
      <c r="AD56" s="1" t="n">
        <v>4.9</v>
      </c>
    </row>
    <row r="57" customFormat="false" ht="12.75" hidden="false" customHeight="false" outlineLevel="0" collapsed="false">
      <c r="A57" s="54" t="s">
        <v>336</v>
      </c>
      <c r="B57" s="1" t="n">
        <v>2</v>
      </c>
      <c r="C57" s="1" t="n">
        <v>0.636</v>
      </c>
      <c r="D57" s="1" t="n">
        <v>1</v>
      </c>
      <c r="E57" s="1" t="n">
        <v>9.99</v>
      </c>
      <c r="F57" s="1" t="n">
        <v>0</v>
      </c>
      <c r="G57" s="1" t="n">
        <v>19.5</v>
      </c>
      <c r="H57" s="1" t="n">
        <v>0</v>
      </c>
      <c r="I57" s="1" t="n">
        <v>18</v>
      </c>
      <c r="J57" s="1" t="n">
        <v>2354</v>
      </c>
      <c r="K57" s="1" t="n">
        <v>189</v>
      </c>
      <c r="L57" s="1" t="n">
        <f aca="false">K57*3/J57</f>
        <v>0.240866610025488</v>
      </c>
      <c r="M57" s="1" t="n">
        <v>6</v>
      </c>
      <c r="N57" s="1" t="n">
        <v>0.5719</v>
      </c>
      <c r="O57" s="1" t="n">
        <f aca="false">N57*G57</f>
        <v>11.15205</v>
      </c>
      <c r="P57" s="1" t="n">
        <v>1</v>
      </c>
      <c r="Q57" s="1" t="n">
        <v>71.5</v>
      </c>
      <c r="R57" s="1" t="n">
        <v>62</v>
      </c>
      <c r="S57" s="1" t="n">
        <v>0.71</v>
      </c>
      <c r="T57" s="1" t="n">
        <v>13.7</v>
      </c>
      <c r="U57" s="1" t="n">
        <v>38.4</v>
      </c>
      <c r="V57" s="1" t="n">
        <v>9.5</v>
      </c>
      <c r="W57" s="1" t="n">
        <v>0.602</v>
      </c>
      <c r="X57" s="50" t="n">
        <v>1350000</v>
      </c>
      <c r="Y57" s="50" t="n">
        <v>425000</v>
      </c>
      <c r="Z57" s="1" t="n">
        <v>1</v>
      </c>
      <c r="AA57" s="1" t="n">
        <v>1</v>
      </c>
      <c r="AB57" s="1" t="n">
        <v>0</v>
      </c>
      <c r="AC57" s="1" t="n">
        <v>10.7</v>
      </c>
      <c r="AD57" s="1" t="n">
        <v>4.8</v>
      </c>
    </row>
    <row r="58" customFormat="false" ht="12.75" hidden="false" customHeight="false" outlineLevel="0" collapsed="false">
      <c r="A58" s="1" t="s">
        <v>33</v>
      </c>
      <c r="B58" s="1" t="n">
        <v>1</v>
      </c>
      <c r="C58" s="1" t="n">
        <v>0.697</v>
      </c>
      <c r="D58" s="1" t="n">
        <v>9</v>
      </c>
      <c r="E58" s="1" t="n">
        <v>4.14</v>
      </c>
      <c r="F58" s="1" t="n">
        <v>0</v>
      </c>
      <c r="G58" s="1" t="n">
        <v>13.2</v>
      </c>
      <c r="H58" s="1" t="n">
        <v>0.8</v>
      </c>
      <c r="I58" s="1" t="n">
        <v>12</v>
      </c>
      <c r="J58" s="1" t="n">
        <v>2446</v>
      </c>
      <c r="K58" s="1" t="n">
        <v>169</v>
      </c>
      <c r="L58" s="1" t="n">
        <f aca="false">K58*3/J58</f>
        <v>0.207277187244481</v>
      </c>
      <c r="M58" s="1" t="n">
        <v>5</v>
      </c>
      <c r="N58" s="1" t="n">
        <v>0.5911</v>
      </c>
      <c r="O58" s="1" t="n">
        <f aca="false">N58*G58</f>
        <v>7.80252</v>
      </c>
      <c r="P58" s="1" t="n">
        <v>2</v>
      </c>
      <c r="Q58" s="1" t="n">
        <v>74.2</v>
      </c>
      <c r="R58" s="1" t="n">
        <v>70.7</v>
      </c>
      <c r="S58" s="1" t="n">
        <v>0.664</v>
      </c>
      <c r="T58" s="1" t="n">
        <v>15.1</v>
      </c>
      <c r="U58" s="1" t="n">
        <v>41.7</v>
      </c>
      <c r="V58" s="1" t="n">
        <v>3.5</v>
      </c>
      <c r="W58" s="1" t="n">
        <v>0.661</v>
      </c>
      <c r="X58" s="50" t="n">
        <v>2550000</v>
      </c>
      <c r="Y58" s="50" t="n">
        <v>790000</v>
      </c>
      <c r="Z58" s="1" t="n">
        <v>21</v>
      </c>
      <c r="AA58" s="1" t="n">
        <v>6</v>
      </c>
      <c r="AB58" s="1" t="n">
        <v>1</v>
      </c>
      <c r="AC58" s="1" t="n">
        <v>12.4</v>
      </c>
      <c r="AD58" s="1" t="n">
        <v>6</v>
      </c>
    </row>
    <row r="59" customFormat="false" ht="12.75" hidden="false" customHeight="false" outlineLevel="0" collapsed="false">
      <c r="A59" s="54" t="s">
        <v>337</v>
      </c>
      <c r="B59" s="1" t="n">
        <v>-1</v>
      </c>
      <c r="C59" s="1" t="n">
        <v>0.613</v>
      </c>
      <c r="D59" s="1" t="n">
        <v>0</v>
      </c>
      <c r="E59" s="1" t="n">
        <v>2.38</v>
      </c>
      <c r="F59" s="1" t="n">
        <v>0</v>
      </c>
      <c r="G59" s="1" t="n">
        <v>-5.7</v>
      </c>
      <c r="H59" s="1" t="n">
        <v>0.545</v>
      </c>
      <c r="I59" s="1" t="n">
        <v>22</v>
      </c>
      <c r="J59" s="1" t="n">
        <v>2515</v>
      </c>
      <c r="K59" s="1" t="n">
        <v>213</v>
      </c>
      <c r="L59" s="1" t="n">
        <f aca="false">K59*3/J59</f>
        <v>0.254075546719682</v>
      </c>
      <c r="M59" s="1" t="n">
        <v>9</v>
      </c>
      <c r="N59" s="1" t="n">
        <v>0.5647</v>
      </c>
      <c r="O59" s="1" t="n">
        <f aca="false">N59*G59</f>
        <v>-3.21879</v>
      </c>
      <c r="P59" s="1" t="n">
        <v>0</v>
      </c>
      <c r="Q59" s="1" t="n">
        <v>74.9</v>
      </c>
      <c r="R59" s="1" t="n">
        <v>73.2</v>
      </c>
      <c r="S59" s="1" t="n">
        <v>0.716</v>
      </c>
      <c r="T59" s="1" t="n">
        <v>11.4</v>
      </c>
      <c r="U59" s="1" t="n">
        <v>36.6</v>
      </c>
      <c r="V59" s="1" t="n">
        <v>1.7</v>
      </c>
      <c r="W59" s="1" t="n">
        <v>0.601</v>
      </c>
      <c r="X59" s="50" t="n">
        <v>200000</v>
      </c>
      <c r="Y59" s="50" t="n">
        <v>171669</v>
      </c>
      <c r="Z59" s="1" t="n">
        <v>6</v>
      </c>
      <c r="AA59" s="1" t="n">
        <v>1</v>
      </c>
      <c r="AB59" s="1" t="n">
        <v>1</v>
      </c>
      <c r="AC59" s="1" t="n">
        <v>13.4</v>
      </c>
      <c r="AD59" s="1" t="n">
        <v>3.7</v>
      </c>
    </row>
    <row r="60" customFormat="false" ht="12.75" hidden="false" customHeight="false" outlineLevel="0" collapsed="false">
      <c r="A60" s="1" t="s">
        <v>204</v>
      </c>
      <c r="B60" s="1" t="n">
        <v>0</v>
      </c>
      <c r="C60" s="1" t="n">
        <v>0.625</v>
      </c>
      <c r="D60" s="1" t="n">
        <v>1</v>
      </c>
      <c r="E60" s="1" t="n">
        <v>5.6</v>
      </c>
      <c r="F60" s="1" t="n">
        <v>0</v>
      </c>
      <c r="G60" s="1" t="n">
        <v>9.3</v>
      </c>
      <c r="H60" s="1" t="n">
        <v>0.667</v>
      </c>
      <c r="I60" s="1" t="n">
        <v>14</v>
      </c>
      <c r="J60" s="1" t="n">
        <v>2412</v>
      </c>
      <c r="K60" s="1" t="n">
        <v>190</v>
      </c>
      <c r="L60" s="1" t="n">
        <f aca="false">K60*3/J60</f>
        <v>0.236318407960199</v>
      </c>
      <c r="M60" s="1" t="n">
        <v>10</v>
      </c>
      <c r="N60" s="1" t="n">
        <v>0.5594</v>
      </c>
      <c r="O60" s="1" t="n">
        <f aca="false">N60*G60</f>
        <v>5.20242</v>
      </c>
      <c r="P60" s="1" t="n">
        <v>0</v>
      </c>
      <c r="Q60" s="1" t="n">
        <v>72.7</v>
      </c>
      <c r="R60" s="1" t="n">
        <v>67.6</v>
      </c>
      <c r="S60" s="1" t="n">
        <v>0.675</v>
      </c>
      <c r="T60" s="1" t="n">
        <v>10.8</v>
      </c>
      <c r="U60" s="1" t="n">
        <v>36.3</v>
      </c>
      <c r="V60" s="1" t="n">
        <v>5.1</v>
      </c>
      <c r="W60" s="1" t="n">
        <v>0.567</v>
      </c>
      <c r="X60" s="50" t="n">
        <v>480606</v>
      </c>
      <c r="Y60" s="50"/>
      <c r="Z60" s="1" t="n">
        <v>1</v>
      </c>
      <c r="AA60" s="1" t="n">
        <v>0</v>
      </c>
      <c r="AB60" s="1" t="n">
        <v>0</v>
      </c>
      <c r="AC60" s="1" t="n">
        <v>11.5</v>
      </c>
      <c r="AD60" s="1" t="n">
        <v>3.8</v>
      </c>
    </row>
    <row r="61" customFormat="false" ht="12.75" hidden="false" customHeight="false" outlineLevel="0" collapsed="false">
      <c r="A61" s="1" t="s">
        <v>64</v>
      </c>
      <c r="B61" s="1" t="n">
        <v>2</v>
      </c>
      <c r="C61" s="1" t="n">
        <v>0.765</v>
      </c>
      <c r="D61" s="1" t="n">
        <v>9</v>
      </c>
      <c r="E61" s="1" t="n">
        <v>10.99</v>
      </c>
      <c r="F61" s="1" t="n">
        <v>1</v>
      </c>
      <c r="G61" s="1" t="n">
        <v>18.6</v>
      </c>
      <c r="H61" s="1" t="n">
        <v>0.429</v>
      </c>
      <c r="I61" s="1" t="n">
        <v>13</v>
      </c>
      <c r="J61" s="1" t="n">
        <v>2782</v>
      </c>
      <c r="K61" s="1" t="n">
        <v>217</v>
      </c>
      <c r="L61" s="1" t="n">
        <f aca="false">K61*3/J61</f>
        <v>0.234004313443566</v>
      </c>
      <c r="M61" s="1" t="n">
        <v>7</v>
      </c>
      <c r="N61" s="1" t="n">
        <v>0.5907</v>
      </c>
      <c r="O61" s="1" t="n">
        <f aca="false">N61*G61</f>
        <v>10.98702</v>
      </c>
      <c r="P61" s="1" t="n">
        <v>2</v>
      </c>
      <c r="Q61" s="1" t="n">
        <v>81.2</v>
      </c>
      <c r="R61" s="1" t="n">
        <v>70.4</v>
      </c>
      <c r="S61" s="1" t="n">
        <v>0.749</v>
      </c>
      <c r="T61" s="1" t="n">
        <v>10.1</v>
      </c>
      <c r="U61" s="1" t="n">
        <v>35.4</v>
      </c>
      <c r="V61" s="1" t="n">
        <v>10.8</v>
      </c>
      <c r="W61" s="1" t="n">
        <v>0.658</v>
      </c>
      <c r="X61" s="50" t="n">
        <v>3473973</v>
      </c>
      <c r="Y61" s="50" t="n">
        <v>270000</v>
      </c>
      <c r="Z61" s="1" t="n">
        <v>8</v>
      </c>
      <c r="AA61" s="1" t="n">
        <v>2</v>
      </c>
      <c r="AB61" s="1" t="n">
        <v>0</v>
      </c>
      <c r="AC61" s="1" t="n">
        <v>10.5</v>
      </c>
      <c r="AD61" s="1" t="n">
        <v>2.9</v>
      </c>
    </row>
    <row r="62" customFormat="false" ht="12.75" hidden="false" customHeight="false" outlineLevel="0" collapsed="false">
      <c r="A62" s="1" t="s">
        <v>207</v>
      </c>
      <c r="B62" s="1" t="n">
        <v>0</v>
      </c>
      <c r="C62" s="1" t="n">
        <v>0.765</v>
      </c>
      <c r="D62" s="1" t="n">
        <v>7</v>
      </c>
      <c r="E62" s="1" t="n">
        <v>10.09</v>
      </c>
      <c r="F62" s="1" t="n">
        <v>0</v>
      </c>
      <c r="G62" s="1" t="n">
        <v>19.3</v>
      </c>
      <c r="H62" s="1" t="n">
        <v>0.4</v>
      </c>
      <c r="I62" s="1" t="n">
        <v>17</v>
      </c>
      <c r="J62" s="1" t="n">
        <v>2549</v>
      </c>
      <c r="K62" s="1" t="n">
        <v>252</v>
      </c>
      <c r="L62" s="1" t="n">
        <f aca="false">K62*3/J62</f>
        <v>0.296586896822283</v>
      </c>
      <c r="M62" s="1" t="n">
        <v>7</v>
      </c>
      <c r="N62" s="1" t="n">
        <v>0.5662</v>
      </c>
      <c r="O62" s="1" t="n">
        <f aca="false">N62*G62</f>
        <v>10.92766</v>
      </c>
      <c r="P62" s="1" t="n">
        <v>3</v>
      </c>
      <c r="Q62" s="1" t="n">
        <v>75</v>
      </c>
      <c r="R62" s="1" t="n">
        <v>65.2</v>
      </c>
      <c r="S62" s="1" t="n">
        <v>0.677</v>
      </c>
      <c r="T62" s="1" t="n">
        <v>14.2</v>
      </c>
      <c r="U62" s="1" t="n">
        <v>37.6</v>
      </c>
      <c r="V62" s="1" t="n">
        <v>9.8</v>
      </c>
      <c r="W62" s="1" t="n">
        <v>0.636</v>
      </c>
      <c r="X62" s="50" t="n">
        <v>2489332</v>
      </c>
      <c r="Y62" s="50"/>
      <c r="Z62" s="1" t="n">
        <v>11</v>
      </c>
      <c r="AA62" s="1" t="n">
        <v>4</v>
      </c>
      <c r="AB62" s="1" t="n">
        <v>1</v>
      </c>
      <c r="AC62" s="1" t="n">
        <v>12.3</v>
      </c>
      <c r="AD62" s="1" t="n">
        <v>4.3</v>
      </c>
    </row>
    <row r="63" customFormat="false" ht="12.75" hidden="false" customHeight="false" outlineLevel="0" collapsed="false">
      <c r="A63" s="1" t="s">
        <v>135</v>
      </c>
      <c r="B63" s="1" t="n">
        <v>1</v>
      </c>
      <c r="C63" s="1" t="n">
        <v>0.875</v>
      </c>
      <c r="D63" s="1" t="n">
        <v>9</v>
      </c>
      <c r="E63" s="1" t="n">
        <v>11.9</v>
      </c>
      <c r="F63" s="1" t="n">
        <v>0</v>
      </c>
      <c r="G63" s="1" t="n">
        <v>22.1</v>
      </c>
      <c r="H63" s="1" t="n">
        <v>0.875</v>
      </c>
      <c r="I63" s="1" t="n">
        <v>15</v>
      </c>
      <c r="J63" s="1" t="n">
        <v>2513</v>
      </c>
      <c r="K63" s="1" t="n">
        <v>289</v>
      </c>
      <c r="L63" s="1" t="n">
        <f aca="false">K63*3/J63</f>
        <v>0.345005968961401</v>
      </c>
      <c r="M63" s="1" t="n">
        <v>8</v>
      </c>
      <c r="N63" s="1" t="n">
        <v>0.5668</v>
      </c>
      <c r="O63" s="1" t="n">
        <f aca="false">N63*G63</f>
        <v>12.52628</v>
      </c>
      <c r="P63" s="1" t="n">
        <v>2</v>
      </c>
      <c r="Q63" s="1" t="n">
        <v>78</v>
      </c>
      <c r="R63" s="1" t="n">
        <v>66.5</v>
      </c>
      <c r="S63" s="1" t="n">
        <v>0.713</v>
      </c>
      <c r="T63" s="1" t="n">
        <v>11.3</v>
      </c>
      <c r="U63" s="1" t="n">
        <v>37.3</v>
      </c>
      <c r="V63" s="1" t="n">
        <v>11.5</v>
      </c>
      <c r="W63" s="1" t="n">
        <v>0.639</v>
      </c>
      <c r="X63" s="50" t="n">
        <v>2291100</v>
      </c>
      <c r="Y63" s="50" t="n">
        <v>1400000</v>
      </c>
      <c r="Z63" s="1" t="n">
        <v>4</v>
      </c>
      <c r="AA63" s="1" t="n">
        <v>2</v>
      </c>
      <c r="AB63" s="1" t="n">
        <v>0</v>
      </c>
      <c r="AC63" s="1" t="n">
        <v>11.8</v>
      </c>
      <c r="AD63" s="1" t="n">
        <v>4</v>
      </c>
    </row>
    <row r="64" customFormat="false" ht="12.75" hidden="false" customHeight="false" outlineLevel="0" collapsed="false">
      <c r="A64" s="1" t="s">
        <v>20</v>
      </c>
      <c r="B64" s="1" t="n">
        <v>2</v>
      </c>
      <c r="C64" s="1" t="n">
        <v>0.824</v>
      </c>
      <c r="D64" s="1" t="n">
        <v>6</v>
      </c>
      <c r="E64" s="1" t="n">
        <v>10.67</v>
      </c>
      <c r="F64" s="1" t="n">
        <v>1</v>
      </c>
      <c r="G64" s="1" t="n">
        <v>24.1</v>
      </c>
      <c r="H64" s="1" t="n">
        <v>0.625</v>
      </c>
      <c r="I64" s="1" t="n">
        <v>15</v>
      </c>
      <c r="J64" s="1" t="n">
        <v>2242</v>
      </c>
      <c r="K64" s="1" t="n">
        <v>187</v>
      </c>
      <c r="L64" s="1" t="n">
        <f aca="false">K64*3/J64</f>
        <v>0.250223015165031</v>
      </c>
      <c r="M64" s="1" t="n">
        <v>9</v>
      </c>
      <c r="N64" s="1" t="n">
        <v>0.5755</v>
      </c>
      <c r="O64" s="1" t="n">
        <f aca="false">N64*G64</f>
        <v>13.86955</v>
      </c>
      <c r="P64" s="1" t="n">
        <v>1</v>
      </c>
      <c r="Q64" s="1" t="n">
        <v>66.2</v>
      </c>
      <c r="R64" s="1" t="n">
        <v>55.7</v>
      </c>
      <c r="S64" s="1" t="n">
        <v>0.664</v>
      </c>
      <c r="T64" s="1" t="n">
        <v>10.9</v>
      </c>
      <c r="U64" s="1" t="n">
        <v>35.5</v>
      </c>
      <c r="V64" s="1" t="n">
        <v>10.5</v>
      </c>
      <c r="W64" s="1" t="n">
        <v>0.749</v>
      </c>
      <c r="X64" s="50" t="n">
        <v>1530000</v>
      </c>
      <c r="Y64" s="50" t="n">
        <v>699250</v>
      </c>
      <c r="Z64" s="1" t="n">
        <v>4</v>
      </c>
      <c r="AA64" s="1" t="n">
        <v>1</v>
      </c>
      <c r="AB64" s="1" t="n">
        <v>1</v>
      </c>
      <c r="AC64" s="1" t="n">
        <v>10.2</v>
      </c>
      <c r="AD64" s="1" t="n">
        <v>4</v>
      </c>
    </row>
    <row r="65" customFormat="false" ht="12.75" hidden="false" customHeight="false" outlineLevel="0" collapsed="false">
      <c r="A65" s="1" t="s">
        <v>208</v>
      </c>
      <c r="B65" s="1" t="n">
        <v>0</v>
      </c>
      <c r="C65" s="1" t="n">
        <v>0.633</v>
      </c>
      <c r="D65" s="1" t="n">
        <v>0</v>
      </c>
      <c r="E65" s="1" t="n">
        <v>6.77</v>
      </c>
      <c r="F65" s="1" t="n">
        <v>0</v>
      </c>
      <c r="G65" s="1" t="n">
        <v>-1.5</v>
      </c>
      <c r="H65" s="1" t="n">
        <v>0.429</v>
      </c>
      <c r="I65" s="1" t="n">
        <v>16</v>
      </c>
      <c r="J65" s="1" t="n">
        <v>2195</v>
      </c>
      <c r="K65" s="1" t="n">
        <v>215</v>
      </c>
      <c r="L65" s="1" t="n">
        <f aca="false">K65*3/J65</f>
        <v>0.293849658314351</v>
      </c>
      <c r="M65" s="1" t="n">
        <v>6</v>
      </c>
      <c r="N65" s="1" t="n">
        <v>0.5627</v>
      </c>
      <c r="O65" s="1" t="n">
        <f aca="false">N65*G65</f>
        <v>-0.84405</v>
      </c>
      <c r="P65" s="1" t="n">
        <v>0</v>
      </c>
      <c r="Q65" s="1" t="n">
        <v>71.4</v>
      </c>
      <c r="R65" s="1" t="n">
        <v>68.1</v>
      </c>
      <c r="S65" s="1" t="n">
        <v>0.737</v>
      </c>
      <c r="T65" s="1" t="n">
        <v>8.4</v>
      </c>
      <c r="U65" s="1" t="n">
        <v>33.3</v>
      </c>
      <c r="V65" s="1" t="n">
        <v>3.3</v>
      </c>
      <c r="W65" s="1" t="n">
        <v>0.66</v>
      </c>
      <c r="X65" s="50" t="n">
        <v>196528</v>
      </c>
      <c r="Y65" s="50" t="n">
        <v>82500</v>
      </c>
      <c r="Z65" s="1" t="n">
        <v>2</v>
      </c>
      <c r="AA65" s="1" t="n">
        <v>0</v>
      </c>
      <c r="AB65" s="1" t="n">
        <v>0</v>
      </c>
      <c r="AC65" s="1" t="n">
        <v>12.4</v>
      </c>
      <c r="AD65" s="1" t="n">
        <v>4</v>
      </c>
    </row>
    <row r="66" customFormat="false" ht="12.75" hidden="false" customHeight="false" outlineLevel="0" collapsed="false">
      <c r="A66" s="1" t="s">
        <v>338</v>
      </c>
      <c r="B66" s="1" t="n">
        <v>0</v>
      </c>
      <c r="C66" s="1" t="n">
        <v>0.719</v>
      </c>
      <c r="D66" s="1" t="n">
        <v>1</v>
      </c>
      <c r="E66" s="1" t="n">
        <v>4.66</v>
      </c>
      <c r="F66" s="1" t="n">
        <v>0</v>
      </c>
      <c r="G66" s="1" t="n">
        <v>3</v>
      </c>
      <c r="H66" s="1" t="n">
        <v>0.778</v>
      </c>
      <c r="I66" s="1" t="n">
        <v>16</v>
      </c>
      <c r="J66" s="1" t="n">
        <v>2320</v>
      </c>
      <c r="K66" s="1" t="n">
        <v>191</v>
      </c>
      <c r="L66" s="1" t="n">
        <f aca="false">K66*3/J66</f>
        <v>0.24698275862069</v>
      </c>
      <c r="M66" s="1" t="n">
        <v>9</v>
      </c>
      <c r="N66" s="1" t="n">
        <v>0.5488</v>
      </c>
      <c r="O66" s="1" t="n">
        <f aca="false">N66*G66</f>
        <v>1.6464</v>
      </c>
      <c r="P66" s="1" t="n">
        <v>0</v>
      </c>
      <c r="Q66" s="1" t="n">
        <v>71.6</v>
      </c>
      <c r="R66" s="1" t="n">
        <v>68.4</v>
      </c>
      <c r="S66" s="1" t="n">
        <v>0.724</v>
      </c>
      <c r="T66" s="1" t="n">
        <v>9.8</v>
      </c>
      <c r="U66" s="1" t="n">
        <v>34.2</v>
      </c>
      <c r="V66" s="1" t="n">
        <v>3.2</v>
      </c>
      <c r="W66" s="1" t="n">
        <v>0.568</v>
      </c>
      <c r="X66" s="50" t="n">
        <v>312000</v>
      </c>
      <c r="Y66" s="50" t="n">
        <v>217000</v>
      </c>
      <c r="Z66" s="1" t="n">
        <v>2</v>
      </c>
      <c r="AA66" s="1" t="n">
        <v>0</v>
      </c>
      <c r="AB66" s="1" t="n">
        <v>0</v>
      </c>
      <c r="AC66" s="1" t="n">
        <v>14.1</v>
      </c>
      <c r="AD66" s="1" t="n">
        <v>3.4</v>
      </c>
    </row>
    <row r="67" customFormat="false" ht="12.75" hidden="false" customHeight="false" outlineLevel="0" collapsed="false">
      <c r="A67" s="1" t="s">
        <v>210</v>
      </c>
      <c r="B67" s="1" t="n">
        <v>1</v>
      </c>
      <c r="C67" s="1" t="n">
        <v>1</v>
      </c>
      <c r="D67" s="1" t="n">
        <v>5</v>
      </c>
      <c r="E67" s="1" t="n">
        <v>15.9</v>
      </c>
      <c r="F67" s="1" t="n">
        <v>0</v>
      </c>
      <c r="G67" s="1" t="n">
        <v>25.1</v>
      </c>
      <c r="H67" s="1" t="n">
        <v>1</v>
      </c>
      <c r="I67" s="1" t="n">
        <v>18</v>
      </c>
      <c r="J67" s="1" t="n">
        <v>2566</v>
      </c>
      <c r="K67" s="1" t="n">
        <v>234</v>
      </c>
      <c r="L67" s="1" t="n">
        <f aca="false">K67*3/J67</f>
        <v>0.273577552611068</v>
      </c>
      <c r="M67" s="1" t="n">
        <v>10</v>
      </c>
      <c r="N67" s="1" t="n">
        <v>0.552</v>
      </c>
      <c r="O67" s="1" t="n">
        <f aca="false">N67*G67</f>
        <v>13.8552</v>
      </c>
      <c r="P67" s="1" t="n">
        <v>0</v>
      </c>
      <c r="Q67" s="1" t="n">
        <v>74.7</v>
      </c>
      <c r="R67" s="1" t="n">
        <v>59.7</v>
      </c>
      <c r="S67" s="1" t="n">
        <v>0.73</v>
      </c>
      <c r="T67" s="1" t="n">
        <v>11.9</v>
      </c>
      <c r="U67" s="1" t="n">
        <v>38.5</v>
      </c>
      <c r="V67" s="1" t="n">
        <v>14.9</v>
      </c>
      <c r="W67" s="1" t="n">
        <v>0.705</v>
      </c>
      <c r="X67" s="50" t="n">
        <v>1794500</v>
      </c>
      <c r="Y67" s="50" t="n">
        <v>838000</v>
      </c>
      <c r="Z67" s="1" t="n">
        <v>10</v>
      </c>
      <c r="AA67" s="1" t="n">
        <v>1</v>
      </c>
      <c r="AB67" s="1" t="n">
        <v>1</v>
      </c>
      <c r="AC67" s="1" t="n">
        <v>10.4</v>
      </c>
      <c r="AD67" s="1" t="n">
        <v>5.1</v>
      </c>
    </row>
    <row r="68" customFormat="false" ht="12.75" hidden="false" customHeight="false" outlineLevel="0" collapsed="false">
      <c r="A68" s="1" t="s">
        <v>138</v>
      </c>
      <c r="B68" s="1" t="n">
        <v>4</v>
      </c>
      <c r="C68" s="1" t="n">
        <v>0.788</v>
      </c>
      <c r="D68" s="1" t="n">
        <v>9</v>
      </c>
      <c r="E68" s="1" t="n">
        <v>9</v>
      </c>
      <c r="F68" s="1" t="n">
        <v>0</v>
      </c>
      <c r="G68" s="1" t="n">
        <v>20.9</v>
      </c>
      <c r="H68" s="1" t="n">
        <v>0.714</v>
      </c>
      <c r="I68" s="1" t="n">
        <v>16</v>
      </c>
      <c r="J68" s="1" t="n">
        <v>2427</v>
      </c>
      <c r="K68" s="1" t="n">
        <v>256</v>
      </c>
      <c r="L68" s="1" t="n">
        <f aca="false">K68*3/J68</f>
        <v>0.316440049443758</v>
      </c>
      <c r="M68" s="1" t="n">
        <v>8</v>
      </c>
      <c r="N68" s="1" t="n">
        <v>0.5678</v>
      </c>
      <c r="O68" s="1" t="n">
        <f aca="false">N68*G68</f>
        <v>11.86702</v>
      </c>
      <c r="P68" s="1" t="n">
        <v>3</v>
      </c>
      <c r="Q68" s="1" t="n">
        <v>73.5</v>
      </c>
      <c r="R68" s="1" t="n">
        <v>64</v>
      </c>
      <c r="S68" s="1" t="n">
        <v>0.744</v>
      </c>
      <c r="T68" s="1" t="n">
        <v>8.8</v>
      </c>
      <c r="U68" s="1" t="n">
        <v>33.6</v>
      </c>
      <c r="V68" s="1" t="n">
        <v>9.5</v>
      </c>
      <c r="W68" s="1" t="n">
        <v>0.703</v>
      </c>
      <c r="X68" s="50" t="n">
        <v>2413500</v>
      </c>
      <c r="Y68" s="50" t="n">
        <v>400000</v>
      </c>
      <c r="Z68" s="1" t="n">
        <v>13</v>
      </c>
      <c r="AA68" s="1" t="n">
        <v>6</v>
      </c>
      <c r="AB68" s="1" t="n">
        <v>1</v>
      </c>
      <c r="AC68" s="1" t="n">
        <v>8.1</v>
      </c>
      <c r="AD68" s="1" t="n">
        <v>3.5</v>
      </c>
    </row>
    <row r="69" customFormat="false" ht="12.75" hidden="false" customHeight="false" outlineLevel="0" collapsed="false">
      <c r="A69" s="1" t="s">
        <v>269</v>
      </c>
      <c r="B69" s="1" t="n">
        <v>0</v>
      </c>
      <c r="C69" s="1" t="n">
        <v>0.625</v>
      </c>
      <c r="D69" s="1" t="n">
        <v>0</v>
      </c>
      <c r="E69" s="1" t="n">
        <v>5.29</v>
      </c>
      <c r="F69" s="1" t="n">
        <v>0</v>
      </c>
      <c r="G69" s="1" t="n">
        <v>-7.4</v>
      </c>
      <c r="H69" s="1" t="n">
        <v>0.571</v>
      </c>
      <c r="I69" s="1" t="n">
        <v>13</v>
      </c>
      <c r="J69" s="1" t="n">
        <v>2165</v>
      </c>
      <c r="K69" s="1" t="n">
        <v>195</v>
      </c>
      <c r="L69" s="1" t="n">
        <f aca="false">K69*3/J69</f>
        <v>0.270207852193995</v>
      </c>
      <c r="M69" s="1" t="n">
        <v>8</v>
      </c>
      <c r="N69" s="1" t="n">
        <v>0.5693</v>
      </c>
      <c r="O69" s="1" t="n">
        <f aca="false">N69*G69</f>
        <v>-4.21282</v>
      </c>
      <c r="P69" s="1" t="n">
        <v>1</v>
      </c>
      <c r="Q69" s="1" t="n">
        <v>64.6</v>
      </c>
      <c r="R69" s="1" t="n">
        <v>62.9</v>
      </c>
      <c r="S69" s="1" t="n">
        <v>0.663</v>
      </c>
      <c r="T69" s="1" t="n">
        <v>10.8</v>
      </c>
      <c r="U69" s="1" t="n">
        <v>32.3</v>
      </c>
      <c r="V69" s="1" t="n">
        <v>1.6</v>
      </c>
      <c r="W69" s="1" t="n">
        <v>0.505</v>
      </c>
      <c r="X69" s="50" t="n">
        <v>171244</v>
      </c>
      <c r="Y69" s="50"/>
      <c r="Z69" s="1" t="n">
        <v>3</v>
      </c>
      <c r="AA69" s="1" t="n">
        <v>0</v>
      </c>
      <c r="AB69" s="1" t="n">
        <v>0</v>
      </c>
      <c r="AC69" s="1" t="n">
        <v>10.7</v>
      </c>
      <c r="AD69" s="1" t="n">
        <v>1.7</v>
      </c>
    </row>
    <row r="70" customFormat="false" ht="12.75" hidden="false" customHeight="false" outlineLevel="0" collapsed="false">
      <c r="A70" s="54" t="s">
        <v>36</v>
      </c>
      <c r="B70" s="1" t="n">
        <v>-1</v>
      </c>
      <c r="C70" s="1" t="n">
        <v>0.636</v>
      </c>
      <c r="D70" s="1" t="n">
        <v>4</v>
      </c>
      <c r="E70" s="1" t="n">
        <v>4.32</v>
      </c>
      <c r="F70" s="1" t="n">
        <v>0</v>
      </c>
      <c r="G70" s="1" t="n">
        <v>13.2</v>
      </c>
      <c r="H70" s="1" t="n">
        <v>0.8</v>
      </c>
      <c r="I70" s="1" t="n">
        <v>16</v>
      </c>
      <c r="J70" s="1" t="n">
        <v>2383</v>
      </c>
      <c r="K70" s="1" t="n">
        <v>172</v>
      </c>
      <c r="L70" s="1" t="n">
        <f aca="false">K70*3/J70</f>
        <v>0.216533780948384</v>
      </c>
      <c r="M70" s="1" t="n">
        <v>5</v>
      </c>
      <c r="N70" s="1" t="n">
        <v>0.576</v>
      </c>
      <c r="O70" s="1" t="n">
        <f aca="false">N70*G70</f>
        <v>7.6032</v>
      </c>
      <c r="P70" s="1" t="n">
        <v>2</v>
      </c>
      <c r="Q70" s="1" t="n">
        <v>71.8</v>
      </c>
      <c r="R70" s="1" t="n">
        <v>68.1</v>
      </c>
      <c r="S70" s="1" t="n">
        <v>0.688</v>
      </c>
      <c r="T70" s="1" t="n">
        <v>11.2</v>
      </c>
      <c r="U70" s="1" t="n">
        <v>35.7</v>
      </c>
      <c r="V70" s="1" t="n">
        <v>3.7</v>
      </c>
      <c r="W70" s="1" t="n">
        <v>0.661</v>
      </c>
      <c r="X70" s="50" t="n">
        <v>860807</v>
      </c>
      <c r="Y70" s="50"/>
      <c r="Z70" s="1" t="n">
        <v>4</v>
      </c>
      <c r="AA70" s="1" t="n">
        <v>2</v>
      </c>
      <c r="AB70" s="1" t="n">
        <v>0</v>
      </c>
      <c r="AC70" s="1" t="n">
        <v>12.4</v>
      </c>
      <c r="AD70" s="1" t="n">
        <v>2.9</v>
      </c>
    </row>
    <row r="71" customFormat="false" ht="12.75" hidden="false" customHeight="false" outlineLevel="0" collapsed="false">
      <c r="X71" s="50" t="s">
        <v>339</v>
      </c>
      <c r="Y71" s="50" t="s">
        <v>339</v>
      </c>
    </row>
    <row r="1048576" customFormat="false" ht="12.75" hidden="false" customHeight="true" outlineLevel="0" collapsed="false"/>
  </sheetData>
  <hyperlinks>
    <hyperlink ref="C2" r:id="rId1" display="http://www.ncaa.com/stats/basketball-men/d1/current/team/168"/>
    <hyperlink ref="E2" r:id="rId2" display="http://www.ncaa.com/stats/basketball-men/d1/current/team/147"/>
    <hyperlink ref="H2" r:id="rId3" display="http://www.teamrankings.com/ncaa-basketball/stat/win-pct-close-games"/>
    <hyperlink ref="J2" r:id="rId4" display="http://www.sports-reference.com/cbb/seasons/2014-school-stats.html"/>
    <hyperlink ref="K2" r:id="rId5" display="http://www.sports-reference.com/cbb/seasons/2014-school-stats.html"/>
    <hyperlink ref="M2" r:id="rId6" display="http://www.sports-reference.com/cbb/schools/"/>
    <hyperlink ref="N2" r:id="rId7" display="http://www.cbssports.com/collegebasketball/bracketology/sos"/>
    <hyperlink ref="Q2" r:id="rId8" display="http://www.teamrankings.com/ncaa-basketball/team-stat/scoring-category"/>
    <hyperlink ref="R2" r:id="rId9" display="http://www.teamrankings.com/ncaa-basketball/stat/opponent-points-per-game?date=2014-04-07"/>
    <hyperlink ref="S2" r:id="rId10" display="http://espn.go.com/mens-college-basketball/statistics/team/_/stat/free-throws/year/2014"/>
    <hyperlink ref="T2" r:id="rId11" display="http://www.teamrankings.com/ncaa-basketball/stat/opponent-offensive-rebounds-per-game?date=2014-04-07"/>
    <hyperlink ref="U2" r:id="rId12" display="http://www.teamrankings.com/ncaa-basketball/stat/total-rebounds-per-game?date=2014-04-07"/>
    <hyperlink ref="V2" r:id="rId13" display="http://www.teamrankings.com/ncaa-basketball/stat/average-scoring-margin?date=2014-04-07"/>
    <hyperlink ref="W2" r:id="rId14" display="http://www.sports-reference.com/cbb/seasons/2014-coaches.html"/>
    <hyperlink ref="X2" r:id="rId15" display="http://sports.usatoday.com/ncaa/salaries/mens-basketball/coach"/>
    <hyperlink ref="Y2" r:id="rId16" display="http://sports.usatoday.com/ncaa/salaries/mens-basketball/coach"/>
    <hyperlink ref="Z2" r:id="rId17" display="http://www.sports-reference.com/cbb/seasons/2014-coaches.html"/>
    <hyperlink ref="AA2" r:id="rId18" display="http://www.sports-reference.com/cbb/seasons/2014-coaches.html"/>
    <hyperlink ref="AB2" r:id="rId19" display="http://www.sports-reference.com/cbb/seasons/2014-coaches.html"/>
    <hyperlink ref="AC2" r:id="rId20" display="http://web1.ncaa.org/stats/StatsSrv/rankings"/>
    <hyperlink ref="AD2" r:id="rId21" display="http://web1.ncaa.org/stats/StatsSrv/rankings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2" min="1" style="0" width="17.29"/>
    <col collapsed="false" customWidth="true" hidden="false" outlineLevel="0" max="3" min="3" style="0" width="14.86"/>
    <col collapsed="false" customWidth="true" hidden="false" outlineLevel="0" max="4" min="4" style="0" width="17.29"/>
    <col collapsed="false" customWidth="true" hidden="false" outlineLevel="0" max="5" min="5" style="0" width="16.43"/>
    <col collapsed="false" customWidth="true" hidden="false" outlineLevel="0" max="6" min="6" style="0" width="17.29"/>
    <col collapsed="false" customWidth="true" hidden="false" outlineLevel="0" max="7" min="7" style="0" width="11.14"/>
    <col collapsed="false" customWidth="true" hidden="false" outlineLevel="0" max="8" min="8" style="0" width="14.01"/>
    <col collapsed="false" customWidth="true" hidden="false" outlineLevel="0" max="15" min="9" style="0" width="17.29"/>
    <col collapsed="false" customWidth="true" hidden="false" outlineLevel="0" max="16" min="16" style="0" width="12.14"/>
    <col collapsed="false" customWidth="true" hidden="false" outlineLevel="0" max="17" min="17" style="0" width="17.29"/>
    <col collapsed="false" customWidth="true" hidden="false" outlineLevel="0" max="18" min="18" style="0" width="13.43"/>
    <col collapsed="false" customWidth="true" hidden="false" outlineLevel="0" max="32" min="19" style="0" width="17.29"/>
    <col collapsed="false" customWidth="true" hidden="false" outlineLevel="0" max="1025" min="33" style="0" width="14.43"/>
  </cols>
  <sheetData>
    <row r="1" customFormat="false" ht="1.5" hidden="false" customHeight="true" outlineLevel="0" collapsed="false">
      <c r="A1" s="1" t="s">
        <v>2</v>
      </c>
      <c r="B1" s="1" t="s">
        <v>213</v>
      </c>
      <c r="C1" s="1" t="s">
        <v>340</v>
      </c>
      <c r="D1" s="1" t="s">
        <v>341</v>
      </c>
      <c r="E1" s="1" t="s">
        <v>342</v>
      </c>
      <c r="F1" s="1" t="s">
        <v>343</v>
      </c>
      <c r="G1" s="1" t="s">
        <v>344</v>
      </c>
      <c r="H1" s="1" t="s">
        <v>345</v>
      </c>
      <c r="I1" s="1" t="s">
        <v>153</v>
      </c>
      <c r="J1" s="25" t="s">
        <v>96</v>
      </c>
      <c r="K1" s="1" t="s">
        <v>346</v>
      </c>
      <c r="L1" s="56" t="s">
        <v>148</v>
      </c>
      <c r="M1" s="56" t="s">
        <v>347</v>
      </c>
      <c r="N1" s="1" t="s">
        <v>348</v>
      </c>
      <c r="O1" s="1" t="s">
        <v>237</v>
      </c>
      <c r="P1" s="1" t="s">
        <v>349</v>
      </c>
      <c r="Q1" s="56" t="s">
        <v>350</v>
      </c>
      <c r="R1" s="1" t="s">
        <v>351</v>
      </c>
      <c r="S1" s="1" t="s">
        <v>352</v>
      </c>
      <c r="T1" s="1" t="s">
        <v>353</v>
      </c>
      <c r="U1" s="1" t="s">
        <v>354</v>
      </c>
      <c r="V1" s="1" t="s">
        <v>355</v>
      </c>
      <c r="W1" s="1" t="s">
        <v>356</v>
      </c>
      <c r="X1" s="1" t="s">
        <v>357</v>
      </c>
      <c r="Y1" s="1" t="s">
        <v>358</v>
      </c>
      <c r="Z1" s="1" t="s">
        <v>359</v>
      </c>
      <c r="AA1" s="1" t="s">
        <v>360</v>
      </c>
      <c r="AB1" s="49" t="s">
        <v>290</v>
      </c>
      <c r="AC1" s="50" t="s">
        <v>291</v>
      </c>
      <c r="AD1" s="50" t="s">
        <v>292</v>
      </c>
      <c r="AE1" s="1" t="s">
        <v>293</v>
      </c>
      <c r="AF1" s="1" t="s">
        <v>294</v>
      </c>
    </row>
    <row r="2" customFormat="false" ht="12" hidden="false" customHeight="true" outlineLevel="0" collapsed="false">
      <c r="A2" s="1" t="s">
        <v>361</v>
      </c>
      <c r="B2" s="1" t="n">
        <v>0</v>
      </c>
      <c r="C2" s="1" t="n">
        <v>0.813</v>
      </c>
      <c r="D2" s="1" t="n">
        <v>9.4</v>
      </c>
      <c r="E2" s="57" t="n">
        <f aca="false">4/7</f>
        <v>0.5714285714</v>
      </c>
      <c r="F2" s="1" t="n">
        <v>8</v>
      </c>
      <c r="G2" s="1" t="n">
        <v>71.8</v>
      </c>
      <c r="H2" s="1" t="n">
        <v>13.6</v>
      </c>
      <c r="I2" s="1" t="n">
        <v>62</v>
      </c>
      <c r="J2" s="25" t="n">
        <v>0.5411</v>
      </c>
      <c r="K2" s="1" t="n">
        <v>1</v>
      </c>
      <c r="L2" s="1" t="n">
        <v>0</v>
      </c>
      <c r="M2" s="1" t="n">
        <v>1</v>
      </c>
      <c r="N2" s="1" t="n">
        <v>2</v>
      </c>
      <c r="O2" s="1" t="n">
        <v>18</v>
      </c>
      <c r="P2" s="1" t="n">
        <v>0.643</v>
      </c>
      <c r="Q2" s="1" t="n">
        <v>436</v>
      </c>
      <c r="R2" s="1" t="n">
        <v>34.267</v>
      </c>
      <c r="S2" s="1" t="n">
        <v>13</v>
      </c>
      <c r="T2" s="1" t="n">
        <v>1215</v>
      </c>
      <c r="U2" s="1" t="n">
        <v>9.7</v>
      </c>
      <c r="V2" s="1" t="n">
        <v>3440</v>
      </c>
      <c r="W2" s="1" t="n">
        <f aca="false">K2*L2</f>
        <v>0</v>
      </c>
      <c r="X2" s="1" t="n">
        <v>0</v>
      </c>
      <c r="Y2" s="1" t="n">
        <v>55.3</v>
      </c>
      <c r="Z2" s="1" t="n">
        <f aca="false">IF(M2+N2=0, 0, M2/(M2+N2))</f>
        <v>0.333333333333333</v>
      </c>
      <c r="AA2" s="1" t="n">
        <f aca="false">M2+N2</f>
        <v>3</v>
      </c>
      <c r="AE2" s="1" t="n">
        <v>3</v>
      </c>
      <c r="AF2" s="1" t="n">
        <v>0</v>
      </c>
    </row>
    <row r="3" customFormat="false" ht="12.75" hidden="false" customHeight="false" outlineLevel="0" collapsed="false">
      <c r="A3" s="1" t="s">
        <v>239</v>
      </c>
      <c r="B3" s="1" t="n">
        <v>0</v>
      </c>
      <c r="C3" s="1" t="n">
        <v>0.706</v>
      </c>
      <c r="D3" s="1" t="n">
        <v>1.4</v>
      </c>
      <c r="E3" s="57" t="n">
        <v>0.5</v>
      </c>
      <c r="F3" s="1" t="n">
        <v>7</v>
      </c>
      <c r="G3" s="1" t="n">
        <v>64.3</v>
      </c>
      <c r="H3" s="1" t="n">
        <v>13.4</v>
      </c>
      <c r="I3" s="1" t="n">
        <v>60.3</v>
      </c>
      <c r="J3" s="25" t="n">
        <v>0.4406</v>
      </c>
      <c r="K3" s="1" t="n">
        <v>1</v>
      </c>
      <c r="L3" s="1" t="n">
        <v>0</v>
      </c>
      <c r="M3" s="1" t="n">
        <v>0</v>
      </c>
      <c r="N3" s="1" t="n">
        <v>1</v>
      </c>
      <c r="O3" s="1" t="n">
        <v>18</v>
      </c>
      <c r="P3" s="1" t="n">
        <v>0.737</v>
      </c>
      <c r="Q3" s="1" t="n">
        <v>455</v>
      </c>
      <c r="R3" s="1" t="n">
        <v>29.335</v>
      </c>
      <c r="S3" s="1" t="n">
        <v>9.9</v>
      </c>
      <c r="T3" s="1" t="n">
        <v>1142</v>
      </c>
      <c r="U3" s="1" t="n">
        <v>4.1</v>
      </c>
      <c r="V3" s="1" t="n">
        <v>2480</v>
      </c>
      <c r="W3" s="1" t="n">
        <f aca="false">K3*L3</f>
        <v>0</v>
      </c>
      <c r="X3" s="1" t="n">
        <v>0</v>
      </c>
      <c r="Y3" s="1" t="n">
        <v>50.1</v>
      </c>
      <c r="Z3" s="1" t="n">
        <f aca="false">IF(M3+N3=0, 0, M3/(M3+N3))</f>
        <v>0</v>
      </c>
      <c r="AA3" s="1" t="n">
        <f aca="false">M3+N3</f>
        <v>1</v>
      </c>
      <c r="AE3" s="1" t="n">
        <v>3</v>
      </c>
      <c r="AF3" s="1" t="n">
        <v>0</v>
      </c>
    </row>
    <row r="4" customFormat="false" ht="12.75" hidden="false" customHeight="false" outlineLevel="0" collapsed="false">
      <c r="A4" s="1" t="s">
        <v>26</v>
      </c>
      <c r="B4" s="1" t="n">
        <v>2</v>
      </c>
      <c r="C4" s="1" t="n">
        <v>0.781</v>
      </c>
      <c r="D4" s="1" t="n">
        <v>19.4</v>
      </c>
      <c r="E4" s="57" t="n">
        <f aca="false">5/7</f>
        <v>0.7142857143</v>
      </c>
      <c r="F4" s="1" t="n">
        <v>5</v>
      </c>
      <c r="G4" s="1" t="n">
        <v>73.4</v>
      </c>
      <c r="H4" s="1" t="n">
        <v>13.1</v>
      </c>
      <c r="I4" s="1" t="n">
        <v>63.7</v>
      </c>
      <c r="J4" s="25" t="n">
        <v>0.5599</v>
      </c>
      <c r="K4" s="1" t="n">
        <v>0</v>
      </c>
      <c r="L4" s="1" t="n">
        <v>1</v>
      </c>
      <c r="M4" s="1" t="n">
        <v>5</v>
      </c>
      <c r="N4" s="1" t="n">
        <v>5</v>
      </c>
      <c r="O4" s="1" t="n">
        <v>16</v>
      </c>
      <c r="P4" s="1" t="n">
        <v>0.749</v>
      </c>
      <c r="Q4" s="1" t="n">
        <v>419</v>
      </c>
      <c r="R4" s="1" t="n">
        <v>31.81</v>
      </c>
      <c r="S4" s="1" t="n">
        <v>11.5</v>
      </c>
      <c r="T4" s="1" t="n">
        <v>1160</v>
      </c>
      <c r="U4" s="1" t="n">
        <v>9.6</v>
      </c>
      <c r="V4" s="1" t="n">
        <v>13602</v>
      </c>
      <c r="W4" s="1" t="n">
        <f aca="false">K4*L4</f>
        <v>0</v>
      </c>
      <c r="X4" s="1" t="n">
        <v>1</v>
      </c>
      <c r="Y4" s="1" t="n">
        <v>53.2</v>
      </c>
      <c r="Z4" s="1" t="n">
        <f aca="false">IF(M4+N4=0, 0, M4/(M4+N4))</f>
        <v>0.5</v>
      </c>
      <c r="AA4" s="1" t="n">
        <f aca="false">M4+N4</f>
        <v>10</v>
      </c>
      <c r="AE4" s="1" t="n">
        <v>6</v>
      </c>
      <c r="AF4" s="1" t="n">
        <v>0</v>
      </c>
    </row>
    <row r="5" customFormat="false" ht="12.75" hidden="false" customHeight="false" outlineLevel="0" collapsed="false">
      <c r="A5" s="1" t="s">
        <v>240</v>
      </c>
      <c r="B5" s="1" t="n">
        <v>0</v>
      </c>
      <c r="C5" s="1" t="n">
        <v>0.813</v>
      </c>
      <c r="D5" s="1" t="n">
        <v>11.8</v>
      </c>
      <c r="E5" s="57" t="n">
        <f aca="false">2/5</f>
        <v>0.4</v>
      </c>
      <c r="F5" s="1" t="n">
        <v>8</v>
      </c>
      <c r="G5" s="1" t="n">
        <v>76.8</v>
      </c>
      <c r="H5" s="1" t="n">
        <v>13.5</v>
      </c>
      <c r="I5" s="1" t="n">
        <v>65.3</v>
      </c>
      <c r="J5" s="25" t="n">
        <v>0.6039</v>
      </c>
      <c r="K5" s="1" t="n">
        <v>1</v>
      </c>
      <c r="L5" s="1" t="n">
        <v>0</v>
      </c>
      <c r="M5" s="1" t="n">
        <v>2</v>
      </c>
      <c r="N5" s="1" t="n">
        <v>2</v>
      </c>
      <c r="O5" s="1" t="n">
        <v>20</v>
      </c>
      <c r="P5" s="1" t="n">
        <v>0.732</v>
      </c>
      <c r="Q5" s="1" t="n">
        <v>432</v>
      </c>
      <c r="R5" s="1" t="n">
        <v>29.292</v>
      </c>
      <c r="S5" s="1" t="n">
        <v>9.4</v>
      </c>
      <c r="T5" s="1" t="n">
        <v>1031</v>
      </c>
      <c r="U5" s="1" t="n">
        <v>12.3</v>
      </c>
      <c r="V5" s="1" t="n">
        <v>2012</v>
      </c>
      <c r="W5" s="1" t="n">
        <f aca="false">K5*L5</f>
        <v>0</v>
      </c>
      <c r="X5" s="1" t="n">
        <v>0</v>
      </c>
      <c r="Y5" s="1" t="n">
        <v>53.4</v>
      </c>
      <c r="Z5" s="1" t="n">
        <f aca="false">IF(M5+N5=0, 0, M5/(M5+N5))</f>
        <v>0.5</v>
      </c>
      <c r="AA5" s="1" t="n">
        <f aca="false">M5+N5</f>
        <v>4</v>
      </c>
      <c r="AE5" s="1" t="n">
        <v>6</v>
      </c>
      <c r="AF5" s="1" t="n">
        <v>0</v>
      </c>
    </row>
    <row r="6" customFormat="false" ht="12.75" hidden="false" customHeight="false" outlineLevel="0" collapsed="false">
      <c r="A6" s="1" t="s">
        <v>241</v>
      </c>
      <c r="B6" s="1" t="n">
        <v>-1</v>
      </c>
      <c r="C6" s="1" t="n">
        <v>0.677</v>
      </c>
      <c r="D6" s="1" t="n">
        <v>12.2</v>
      </c>
      <c r="E6" s="57" t="n">
        <v>0.429</v>
      </c>
      <c r="F6" s="1" t="n">
        <v>6</v>
      </c>
      <c r="G6" s="1" t="n">
        <v>73.2</v>
      </c>
      <c r="H6" s="1" t="n">
        <v>12.1</v>
      </c>
      <c r="I6" s="1" t="n">
        <v>65</v>
      </c>
      <c r="J6" s="25" t="n">
        <v>0.4923</v>
      </c>
      <c r="K6" s="1" t="n">
        <v>0</v>
      </c>
      <c r="L6" s="1" t="n">
        <v>0</v>
      </c>
      <c r="M6" s="1" t="n">
        <v>4</v>
      </c>
      <c r="N6" s="1" t="n">
        <v>5</v>
      </c>
      <c r="O6" s="1" t="n">
        <v>13</v>
      </c>
      <c r="P6" s="1" t="n">
        <v>0.747</v>
      </c>
      <c r="Q6" s="1" t="n">
        <v>375</v>
      </c>
      <c r="R6" s="1" t="n">
        <v>29.658</v>
      </c>
      <c r="S6" s="1" t="n">
        <v>10.1</v>
      </c>
      <c r="T6" s="1" t="n">
        <v>1052</v>
      </c>
      <c r="U6" s="1" t="n">
        <v>4.6</v>
      </c>
      <c r="V6" s="1" t="n">
        <v>4359</v>
      </c>
      <c r="W6" s="1" t="n">
        <f aca="false">K6*L6</f>
        <v>0</v>
      </c>
      <c r="X6" s="1" t="n">
        <v>0</v>
      </c>
      <c r="Y6" s="1" t="n">
        <v>52.6</v>
      </c>
      <c r="Z6" s="1" t="n">
        <f aca="false">IF(M6+N6=0, 0, M6/(M6+N6))</f>
        <v>0.444444444444444</v>
      </c>
      <c r="AA6" s="1" t="n">
        <f aca="false">M6+N6</f>
        <v>9</v>
      </c>
      <c r="AE6" s="1" t="n">
        <v>1</v>
      </c>
      <c r="AF6" s="1" t="n">
        <v>0</v>
      </c>
    </row>
    <row r="7" customFormat="false" ht="12.75" hidden="false" customHeight="false" outlineLevel="0" collapsed="false">
      <c r="A7" s="1" t="s">
        <v>83</v>
      </c>
      <c r="B7" s="1" t="n">
        <v>0</v>
      </c>
      <c r="C7" s="1" t="n">
        <v>0.848</v>
      </c>
      <c r="D7" s="1" t="n">
        <v>11.2</v>
      </c>
      <c r="E7" s="57" t="e">
        <f aca="false">3 /  6</f>
        <v>#VALUE!</v>
      </c>
      <c r="F7" s="1" t="n">
        <v>9</v>
      </c>
      <c r="G7" s="1" t="n">
        <v>67</v>
      </c>
      <c r="H7" s="1" t="n">
        <v>9.4</v>
      </c>
      <c r="I7" s="1" t="n">
        <v>57.5</v>
      </c>
      <c r="J7" s="25" t="n">
        <v>0.507</v>
      </c>
      <c r="K7" s="1" t="n">
        <v>1</v>
      </c>
      <c r="L7" s="1" t="n">
        <v>0</v>
      </c>
      <c r="M7" s="1" t="n">
        <v>1</v>
      </c>
      <c r="N7" s="1" t="n">
        <v>1</v>
      </c>
      <c r="O7" s="1" t="n">
        <v>20</v>
      </c>
      <c r="P7" s="1" t="n">
        <v>0.742</v>
      </c>
      <c r="Q7" s="1" t="n">
        <v>311</v>
      </c>
      <c r="R7" s="1" t="n">
        <v>25.063</v>
      </c>
      <c r="S7" s="1" t="n">
        <v>9.1</v>
      </c>
      <c r="T7" s="1" t="n">
        <v>1193</v>
      </c>
      <c r="U7" s="1" t="n">
        <v>9.6</v>
      </c>
      <c r="V7" s="1" t="n">
        <v>3169</v>
      </c>
      <c r="W7" s="1" t="n">
        <f aca="false">K7*L7</f>
        <v>0</v>
      </c>
      <c r="X7" s="1" t="n">
        <v>1</v>
      </c>
      <c r="Y7" s="1" t="n">
        <v>53.2</v>
      </c>
      <c r="Z7" s="1" t="n">
        <f aca="false">IF(M7+N7=0, 0, M7/(M7+N7))</f>
        <v>0.5</v>
      </c>
      <c r="AA7" s="1" t="n">
        <f aca="false">M7+N7</f>
        <v>2</v>
      </c>
      <c r="AE7" s="1" t="n">
        <v>2</v>
      </c>
      <c r="AF7" s="1" t="n">
        <v>0</v>
      </c>
    </row>
    <row r="8" customFormat="false" ht="12.75" hidden="false" customHeight="false" outlineLevel="0" collapsed="false">
      <c r="A8" s="1" t="s">
        <v>68</v>
      </c>
      <c r="B8" s="1" t="n">
        <v>1</v>
      </c>
      <c r="C8" s="1" t="n">
        <v>0.765</v>
      </c>
      <c r="D8" s="1" t="n">
        <v>14.1</v>
      </c>
      <c r="E8" s="57" t="n">
        <f aca="false">6/9</f>
        <v>0.6666666667</v>
      </c>
      <c r="F8" s="1" t="n">
        <v>6</v>
      </c>
      <c r="G8" s="1" t="n">
        <v>69.3</v>
      </c>
      <c r="H8" s="1" t="n">
        <v>13.4</v>
      </c>
      <c r="I8" s="1" t="n">
        <v>63.8</v>
      </c>
      <c r="J8" s="25" t="n">
        <v>0.5461</v>
      </c>
      <c r="K8" s="1" t="n">
        <v>0</v>
      </c>
      <c r="L8" s="1" t="n">
        <v>0</v>
      </c>
      <c r="M8" s="1" t="n">
        <v>6</v>
      </c>
      <c r="N8" s="1" t="n">
        <v>5</v>
      </c>
      <c r="O8" s="1" t="n">
        <v>16</v>
      </c>
      <c r="P8" s="1" t="n">
        <v>0.696</v>
      </c>
      <c r="Q8" s="1" t="n">
        <v>454</v>
      </c>
      <c r="R8" s="1" t="n">
        <v>31.862</v>
      </c>
      <c r="S8" s="1" t="n">
        <v>11.7</v>
      </c>
      <c r="T8" s="1" t="n">
        <v>1246</v>
      </c>
      <c r="U8" s="1" t="n">
        <v>4.9</v>
      </c>
      <c r="V8" s="1" t="n">
        <v>6599</v>
      </c>
      <c r="W8" s="1" t="n">
        <f aca="false">K8*L8</f>
        <v>0</v>
      </c>
      <c r="X8" s="1" t="n">
        <v>0</v>
      </c>
      <c r="Y8" s="1" t="n">
        <v>53.7</v>
      </c>
      <c r="Z8" s="1" t="n">
        <f aca="false">IF(M8+N8=0, 0, M8/(M8+N8))</f>
        <v>0.545454545454545</v>
      </c>
      <c r="AA8" s="1" t="n">
        <f aca="false">M8+N8</f>
        <v>11</v>
      </c>
      <c r="AE8" s="1" t="n">
        <v>5</v>
      </c>
      <c r="AF8" s="1" t="n">
        <v>2</v>
      </c>
    </row>
    <row r="9" customFormat="false" ht="12.75" hidden="false" customHeight="false" outlineLevel="0" collapsed="false">
      <c r="A9" s="1" t="s">
        <v>179</v>
      </c>
      <c r="B9" s="1" t="n">
        <v>1</v>
      </c>
      <c r="C9" s="1" t="n">
        <v>0.645</v>
      </c>
      <c r="D9" s="1" t="n">
        <v>11.3</v>
      </c>
      <c r="E9" s="57" t="n">
        <v>0.5</v>
      </c>
      <c r="F9" s="1" t="n">
        <v>7</v>
      </c>
      <c r="G9" s="1" t="n">
        <v>67.2</v>
      </c>
      <c r="H9" s="1" t="n">
        <v>12.5</v>
      </c>
      <c r="I9" s="1" t="n">
        <v>64.4</v>
      </c>
      <c r="J9" s="25" t="n">
        <v>0.5448</v>
      </c>
      <c r="K9" s="1" t="n">
        <v>0</v>
      </c>
      <c r="L9" s="1" t="n">
        <v>1</v>
      </c>
      <c r="M9" s="1" t="n">
        <v>5</v>
      </c>
      <c r="N9" s="1" t="n">
        <v>6</v>
      </c>
      <c r="O9" s="1" t="n">
        <v>16</v>
      </c>
      <c r="P9" s="1" t="n">
        <v>0.715</v>
      </c>
      <c r="Q9" s="1" t="n">
        <v>389</v>
      </c>
      <c r="R9" s="1" t="n">
        <v>29.488</v>
      </c>
      <c r="S9" s="1" t="n">
        <v>11</v>
      </c>
      <c r="T9" s="1" t="n">
        <v>1153</v>
      </c>
      <c r="U9" s="1" t="n">
        <v>3.2</v>
      </c>
      <c r="V9" s="1" t="n">
        <v>8532</v>
      </c>
      <c r="W9" s="1" t="n">
        <f aca="false">K9*L9</f>
        <v>0</v>
      </c>
      <c r="X9" s="1" t="n">
        <v>0</v>
      </c>
      <c r="Y9" s="1" t="n">
        <v>52.3</v>
      </c>
      <c r="Z9" s="1" t="n">
        <f aca="false">IF(M9+N9=0, 0, M9/(M9+N9))</f>
        <v>0.454545454545455</v>
      </c>
      <c r="AA9" s="1" t="n">
        <f aca="false">M9+N9</f>
        <v>11</v>
      </c>
      <c r="AE9" s="1" t="n">
        <v>16</v>
      </c>
      <c r="AF9" s="1" t="n">
        <v>1</v>
      </c>
    </row>
    <row r="10" customFormat="false" ht="12.75" hidden="false" customHeight="false" outlineLevel="0" collapsed="false">
      <c r="A10" s="1" t="s">
        <v>34</v>
      </c>
      <c r="B10" s="1" t="n">
        <v>0</v>
      </c>
      <c r="C10" s="1" t="n">
        <v>0.667</v>
      </c>
      <c r="D10" s="1" t="n">
        <v>13.1</v>
      </c>
      <c r="E10" s="57" t="n">
        <v>0.429</v>
      </c>
      <c r="F10" s="1" t="n">
        <v>4</v>
      </c>
      <c r="G10" s="1" t="n">
        <v>66.5</v>
      </c>
      <c r="H10" s="1" t="n">
        <v>12.8</v>
      </c>
      <c r="I10" s="1" t="n">
        <v>58.8</v>
      </c>
      <c r="J10" s="25" t="n">
        <v>0.5037</v>
      </c>
      <c r="K10" s="1" t="n">
        <v>0</v>
      </c>
      <c r="L10" s="1" t="n">
        <v>1</v>
      </c>
      <c r="M10" s="1" t="n">
        <v>5</v>
      </c>
      <c r="N10" s="1" t="n">
        <v>9</v>
      </c>
      <c r="O10" s="1" t="n">
        <v>21</v>
      </c>
      <c r="P10" s="1" t="n">
        <v>0.647</v>
      </c>
      <c r="Q10" s="1" t="n">
        <v>423</v>
      </c>
      <c r="R10" s="1" t="n">
        <v>35.909</v>
      </c>
      <c r="S10" s="1" t="n">
        <v>14.4</v>
      </c>
      <c r="T10" s="1" t="n">
        <v>1320</v>
      </c>
      <c r="U10" s="1" t="n">
        <v>7.9</v>
      </c>
      <c r="V10" s="1" t="n">
        <v>8069</v>
      </c>
      <c r="W10" s="1" t="n">
        <f aca="false">K10*L10</f>
        <v>0</v>
      </c>
      <c r="X10" s="1" t="n">
        <v>0</v>
      </c>
      <c r="Y10" s="1" t="n">
        <v>53.3</v>
      </c>
      <c r="Z10" s="1" t="n">
        <f aca="false">IF(M10+N10=0, 0, M10/(M10+N10))</f>
        <v>0.357142857142857</v>
      </c>
      <c r="AA10" s="1" t="n">
        <f aca="false">M10+N10</f>
        <v>14</v>
      </c>
      <c r="AE10" s="1" t="n">
        <v>5</v>
      </c>
      <c r="AF10" s="1" t="n">
        <v>0</v>
      </c>
    </row>
    <row r="11" customFormat="false" ht="12.75" hidden="false" customHeight="false" outlineLevel="0" collapsed="false">
      <c r="A11" s="1" t="s">
        <v>181</v>
      </c>
      <c r="B11" s="1" t="n">
        <v>0</v>
      </c>
      <c r="C11" s="1" t="n">
        <v>0.656</v>
      </c>
      <c r="D11" s="1" t="n">
        <v>12.3</v>
      </c>
      <c r="E11" s="57" t="n">
        <v>0.571</v>
      </c>
      <c r="F11" s="1" t="n">
        <v>6</v>
      </c>
      <c r="G11" s="1" t="n">
        <v>67.6</v>
      </c>
      <c r="H11" s="1" t="n">
        <v>13.2</v>
      </c>
      <c r="I11" s="1" t="n">
        <v>63.8</v>
      </c>
      <c r="J11" s="25" t="n">
        <v>0.5523</v>
      </c>
      <c r="K11" s="1" t="n">
        <v>0</v>
      </c>
      <c r="L11" s="1" t="n">
        <v>1</v>
      </c>
      <c r="M11" s="1" t="n">
        <v>5</v>
      </c>
      <c r="N11" s="1" t="n">
        <v>6</v>
      </c>
      <c r="O11" s="1" t="n">
        <v>13</v>
      </c>
      <c r="P11" s="1" t="n">
        <v>0.686</v>
      </c>
      <c r="Q11" s="1" t="n">
        <v>422</v>
      </c>
      <c r="R11" s="1" t="n">
        <v>31.092</v>
      </c>
      <c r="S11" s="1" t="n">
        <v>11.6</v>
      </c>
      <c r="T11" s="1" t="n">
        <v>1191</v>
      </c>
      <c r="U11" s="1" t="n">
        <v>4.4</v>
      </c>
      <c r="V11" s="1" t="n">
        <v>7804</v>
      </c>
      <c r="W11" s="1" t="n">
        <f aca="false">K11*L11</f>
        <v>0</v>
      </c>
      <c r="X11" s="1" t="n">
        <v>1</v>
      </c>
      <c r="Y11" s="1" t="n">
        <v>52.3</v>
      </c>
      <c r="Z11" s="1" t="n">
        <f aca="false">IF(M11+N11=0, 0, M11/(M11+N11))</f>
        <v>0.454545454545455</v>
      </c>
      <c r="AA11" s="1" t="n">
        <f aca="false">M11+N11</f>
        <v>11</v>
      </c>
      <c r="AE11" s="1" t="n">
        <v>2</v>
      </c>
      <c r="AF11" s="1" t="n">
        <v>0</v>
      </c>
    </row>
    <row r="12" customFormat="false" ht="12.75" hidden="false" customHeight="false" outlineLevel="0" collapsed="false">
      <c r="A12" s="1" t="s">
        <v>362</v>
      </c>
      <c r="B12" s="1" t="n">
        <v>1</v>
      </c>
      <c r="C12" s="1" t="n">
        <v>0.758</v>
      </c>
      <c r="D12" s="1" t="n">
        <v>17.1</v>
      </c>
      <c r="E12" s="57" t="n">
        <v>0.5</v>
      </c>
      <c r="F12" s="1" t="n">
        <v>6</v>
      </c>
      <c r="G12" s="1" t="n">
        <v>72.9</v>
      </c>
      <c r="H12" s="1" t="n">
        <v>10.8</v>
      </c>
      <c r="I12" s="1" t="n">
        <v>62.9</v>
      </c>
      <c r="J12" s="25" t="n">
        <v>0.5227</v>
      </c>
      <c r="K12" s="1" t="n">
        <v>0</v>
      </c>
      <c r="L12" s="1" t="n">
        <v>0</v>
      </c>
      <c r="M12" s="1" t="n">
        <v>3</v>
      </c>
      <c r="N12" s="1" t="n">
        <v>5</v>
      </c>
      <c r="O12" s="1" t="n">
        <v>22</v>
      </c>
      <c r="P12" s="1" t="n">
        <v>0.715</v>
      </c>
      <c r="Q12" s="1" t="n">
        <v>355</v>
      </c>
      <c r="R12" s="1" t="n">
        <v>35.532</v>
      </c>
      <c r="S12" s="1" t="n">
        <v>14.4</v>
      </c>
      <c r="T12" s="1" t="n">
        <v>1334</v>
      </c>
      <c r="U12" s="1" t="n">
        <v>8.7</v>
      </c>
      <c r="V12" s="1" t="n">
        <v>4193</v>
      </c>
      <c r="W12" s="1" t="n">
        <f aca="false">K12*L12</f>
        <v>0</v>
      </c>
      <c r="X12" s="1" t="n">
        <v>0</v>
      </c>
      <c r="Y12" s="1" t="n">
        <v>58.9</v>
      </c>
      <c r="Z12" s="1" t="n">
        <f aca="false">IF(M12+N12=0, 0, M12/(M12+N12))</f>
        <v>0.375</v>
      </c>
      <c r="AA12" s="1" t="n">
        <f aca="false">M12+N12</f>
        <v>8</v>
      </c>
      <c r="AE12" s="1" t="n">
        <v>5</v>
      </c>
      <c r="AF12" s="1" t="n">
        <v>0</v>
      </c>
    </row>
    <row r="13" customFormat="false" ht="12.75" hidden="false" customHeight="false" outlineLevel="0" collapsed="false">
      <c r="A13" s="1" t="s">
        <v>22</v>
      </c>
      <c r="B13" s="1" t="n">
        <v>1</v>
      </c>
      <c r="C13" s="1" t="n">
        <v>0.794</v>
      </c>
      <c r="D13" s="1" t="n">
        <v>18.9</v>
      </c>
      <c r="E13" s="57" t="n">
        <f aca="false">1/3</f>
        <v>0.3333333333</v>
      </c>
      <c r="F13" s="1" t="n">
        <v>7</v>
      </c>
      <c r="G13" s="1" t="n">
        <v>74.4</v>
      </c>
      <c r="H13" s="1" t="n">
        <v>12.3</v>
      </c>
      <c r="I13" s="1" t="n">
        <v>65.1</v>
      </c>
      <c r="J13" s="25" t="n">
        <v>0.5439</v>
      </c>
      <c r="K13" s="1" t="n">
        <v>1</v>
      </c>
      <c r="L13" s="1" t="n">
        <v>0</v>
      </c>
      <c r="M13" s="1" t="n">
        <v>4</v>
      </c>
      <c r="N13" s="1" t="n">
        <v>3</v>
      </c>
      <c r="O13" s="1" t="n">
        <v>19</v>
      </c>
      <c r="P13" s="1" t="n">
        <v>0.759</v>
      </c>
      <c r="Q13" s="1" t="n">
        <v>417</v>
      </c>
      <c r="R13" s="1" t="n">
        <v>23.873</v>
      </c>
      <c r="S13" s="1" t="n">
        <v>8.4</v>
      </c>
      <c r="T13" s="1" t="n">
        <v>1198</v>
      </c>
      <c r="U13" s="1" t="n">
        <v>12.3</v>
      </c>
      <c r="V13" s="1" t="n">
        <v>16665</v>
      </c>
      <c r="W13" s="1" t="n">
        <f aca="false">K13*L13</f>
        <v>0</v>
      </c>
      <c r="X13" s="1" t="n">
        <v>1</v>
      </c>
      <c r="Y13" s="1" t="n">
        <v>54.1</v>
      </c>
      <c r="Z13" s="1" t="n">
        <f aca="false">IF(M13+N13=0, 0, M13/(M13+N13))</f>
        <v>0.571428571428571</v>
      </c>
      <c r="AA13" s="1" t="n">
        <f aca="false">M13+N13</f>
        <v>7</v>
      </c>
      <c r="AE13" s="1" t="n">
        <v>5</v>
      </c>
      <c r="AF13" s="1" t="n">
        <v>0</v>
      </c>
    </row>
    <row r="14" customFormat="false" ht="12.75" hidden="false" customHeight="false" outlineLevel="0" collapsed="false">
      <c r="A14" s="1" t="s">
        <v>25</v>
      </c>
      <c r="B14" s="1" t="n">
        <v>0</v>
      </c>
      <c r="C14" s="1" t="n">
        <v>0.788</v>
      </c>
      <c r="D14" s="1" t="n">
        <v>9.8</v>
      </c>
      <c r="E14" s="57" t="n">
        <f aca="false">2/5</f>
        <v>0.4</v>
      </c>
      <c r="F14" s="1" t="n">
        <v>10</v>
      </c>
      <c r="G14" s="1" t="n">
        <v>73.2</v>
      </c>
      <c r="H14" s="1" t="n">
        <v>10.9</v>
      </c>
      <c r="I14" s="1" t="n">
        <v>66.2</v>
      </c>
      <c r="J14" s="25" t="n">
        <v>0.5729</v>
      </c>
      <c r="K14" s="1" t="n">
        <v>1</v>
      </c>
      <c r="L14" s="1" t="n">
        <v>0</v>
      </c>
      <c r="M14" s="1" t="n">
        <v>1</v>
      </c>
      <c r="N14" s="1" t="n">
        <v>3</v>
      </c>
      <c r="O14" s="1" t="n">
        <v>20</v>
      </c>
      <c r="P14" s="1" t="n">
        <v>0.795</v>
      </c>
      <c r="Q14" s="1" t="n">
        <v>360</v>
      </c>
      <c r="R14" s="1" t="n">
        <v>26.792</v>
      </c>
      <c r="S14" s="1" t="n">
        <v>9.1</v>
      </c>
      <c r="T14" s="1" t="n">
        <v>1116</v>
      </c>
      <c r="U14" s="1" t="n">
        <v>11.1</v>
      </c>
      <c r="V14" s="1" t="n">
        <v>3957</v>
      </c>
      <c r="W14" s="1" t="n">
        <f aca="false">K14*L14</f>
        <v>0</v>
      </c>
      <c r="X14" s="1" t="n">
        <v>0</v>
      </c>
      <c r="Y14" s="1" t="n">
        <v>52.5</v>
      </c>
      <c r="Z14" s="1" t="n">
        <f aca="false">IF(M14+N14=0, 0, M14/(M14+N14))</f>
        <v>0.25</v>
      </c>
      <c r="AA14" s="1" t="n">
        <f aca="false">M14+N14</f>
        <v>4</v>
      </c>
      <c r="AE14" s="1" t="n">
        <v>7</v>
      </c>
      <c r="AF14" s="1" t="n">
        <v>0</v>
      </c>
    </row>
    <row r="15" customFormat="false" ht="12.75" hidden="false" customHeight="false" outlineLevel="0" collapsed="false">
      <c r="A15" s="1" t="s">
        <v>86</v>
      </c>
      <c r="B15" s="1" t="n">
        <v>3</v>
      </c>
      <c r="C15" s="1" t="n">
        <v>0.844</v>
      </c>
      <c r="D15" s="1" t="n">
        <v>24.1</v>
      </c>
      <c r="E15" s="57" t="n">
        <f aca="false">4 / 6</f>
        <v>0.6666666667</v>
      </c>
      <c r="F15" s="1" t="n">
        <v>7</v>
      </c>
      <c r="G15" s="1" t="n">
        <v>77.2</v>
      </c>
      <c r="H15" s="1" t="n">
        <v>10.7</v>
      </c>
      <c r="I15" s="1" t="n">
        <v>65.4</v>
      </c>
      <c r="J15" s="25" t="n">
        <v>0.6079</v>
      </c>
      <c r="K15" s="1" t="n">
        <v>0</v>
      </c>
      <c r="L15" s="1" t="n">
        <v>1</v>
      </c>
      <c r="M15" s="1" t="n">
        <v>12</v>
      </c>
      <c r="N15" s="1" t="n">
        <v>2</v>
      </c>
      <c r="O15" s="1" t="n">
        <v>18</v>
      </c>
      <c r="P15" s="1" t="n">
        <v>0.739</v>
      </c>
      <c r="Q15" s="1" t="n">
        <v>343</v>
      </c>
      <c r="R15" s="1" t="n">
        <v>28.558</v>
      </c>
      <c r="S15" s="1" t="n">
        <v>9.7</v>
      </c>
      <c r="T15" s="1" t="n">
        <v>1082</v>
      </c>
      <c r="U15" s="1" t="n">
        <v>12.9</v>
      </c>
      <c r="V15" s="1" t="n">
        <v>9314</v>
      </c>
      <c r="W15" s="1" t="n">
        <f aca="false">K15*L15</f>
        <v>0</v>
      </c>
      <c r="X15" s="1" t="n">
        <v>1</v>
      </c>
      <c r="Y15" s="1" t="n">
        <v>54.3</v>
      </c>
      <c r="Z15" s="1" t="n">
        <f aca="false">IF(M15+N15=0, 0, M15/(M15+N15))</f>
        <v>0.857142857142857</v>
      </c>
      <c r="AA15" s="1" t="n">
        <f aca="false">M15+N15</f>
        <v>14</v>
      </c>
      <c r="AE15" s="1" t="n">
        <v>29</v>
      </c>
      <c r="AF15" s="1" t="n">
        <v>11</v>
      </c>
    </row>
    <row r="16" customFormat="false" ht="12.75" hidden="false" customHeight="false" outlineLevel="0" collapsed="false">
      <c r="A16" s="1" t="s">
        <v>62</v>
      </c>
      <c r="B16" s="1" t="n">
        <v>3</v>
      </c>
      <c r="C16" s="1" t="n">
        <v>0.788</v>
      </c>
      <c r="D16" s="1" t="n">
        <v>25.7</v>
      </c>
      <c r="E16" s="57" t="n">
        <f aca="false">0/2</f>
        <v>0</v>
      </c>
      <c r="F16" s="1" t="n">
        <v>6</v>
      </c>
      <c r="G16" s="1" t="n">
        <v>71.4</v>
      </c>
      <c r="H16" s="1" t="n">
        <v>11.1</v>
      </c>
      <c r="I16" s="1" t="n">
        <v>53.7</v>
      </c>
      <c r="J16" s="25" t="n">
        <v>0.5872</v>
      </c>
      <c r="K16" s="1" t="n">
        <v>0</v>
      </c>
      <c r="L16" s="1" t="n">
        <v>1</v>
      </c>
      <c r="M16" s="1" t="n">
        <v>4</v>
      </c>
      <c r="N16" s="1" t="n">
        <v>4</v>
      </c>
      <c r="O16" s="1" t="n">
        <v>16</v>
      </c>
      <c r="P16" s="1" t="n">
        <v>0.683</v>
      </c>
      <c r="Q16" s="1" t="n">
        <v>367</v>
      </c>
      <c r="R16" s="1" t="n">
        <v>29.831</v>
      </c>
      <c r="S16" s="1" t="n">
        <v>10.5</v>
      </c>
      <c r="T16" s="1" t="n">
        <v>1157</v>
      </c>
      <c r="U16" s="1" t="n">
        <v>17.9</v>
      </c>
      <c r="V16" s="1" t="n">
        <v>10434</v>
      </c>
      <c r="W16" s="1" t="n">
        <f aca="false">K16*L16</f>
        <v>0</v>
      </c>
      <c r="X16" s="1" t="n">
        <v>1</v>
      </c>
      <c r="Y16" s="1" t="n">
        <v>56</v>
      </c>
      <c r="Z16" s="1" t="n">
        <f aca="false">IF(M16+N16=0, 0, M16/(M16+N16))</f>
        <v>0.5</v>
      </c>
      <c r="AA16" s="1" t="n">
        <f aca="false">M16+N16</f>
        <v>8</v>
      </c>
      <c r="AE16" s="1" t="n">
        <v>13</v>
      </c>
      <c r="AF16" s="1" t="n">
        <v>3</v>
      </c>
    </row>
    <row r="17" customFormat="false" ht="12.75" hidden="false" customHeight="false" outlineLevel="0" collapsed="false">
      <c r="A17" s="1" t="s">
        <v>185</v>
      </c>
      <c r="B17" s="1" t="n">
        <v>2</v>
      </c>
      <c r="C17" s="1" t="n">
        <v>0.706</v>
      </c>
      <c r="D17" s="1" t="n">
        <v>6.1</v>
      </c>
      <c r="E17" s="57" t="n">
        <v>0.857</v>
      </c>
      <c r="F17" s="1" t="n">
        <v>8</v>
      </c>
      <c r="G17" s="1" t="n">
        <v>72.9</v>
      </c>
      <c r="H17" s="1" t="n">
        <v>14.6</v>
      </c>
      <c r="I17" s="1" t="n">
        <v>66.7</v>
      </c>
      <c r="J17" s="25" t="n">
        <v>0.5616</v>
      </c>
      <c r="K17" s="1" t="n">
        <v>1</v>
      </c>
      <c r="L17" s="1" t="n">
        <v>0</v>
      </c>
      <c r="M17" s="1" t="n">
        <v>1</v>
      </c>
      <c r="N17" s="1" t="n">
        <v>3</v>
      </c>
      <c r="O17" s="1" t="n">
        <v>17</v>
      </c>
      <c r="P17" s="1" t="n">
        <v>0.675</v>
      </c>
      <c r="Q17" s="1" t="n">
        <v>498</v>
      </c>
      <c r="R17" s="1" t="n">
        <v>31.325</v>
      </c>
      <c r="S17" s="1" t="n">
        <v>11.5</v>
      </c>
      <c r="T17" s="1" t="n">
        <v>1245</v>
      </c>
      <c r="U17" s="1" t="n">
        <v>5</v>
      </c>
      <c r="V17" s="1" t="n">
        <v>1775</v>
      </c>
      <c r="W17" s="1" t="n">
        <f aca="false">K17*L17</f>
        <v>0</v>
      </c>
      <c r="X17" s="1" t="n">
        <v>0</v>
      </c>
      <c r="Y17" s="1" t="n">
        <v>52.6</v>
      </c>
      <c r="Z17" s="1" t="n">
        <f aca="false">IF(M17+N17=0, 0, M17/(M17+N17))</f>
        <v>0.25</v>
      </c>
      <c r="AA17" s="1" t="n">
        <f aca="false">M17+N17</f>
        <v>4</v>
      </c>
      <c r="AE17" s="1" t="n">
        <v>1</v>
      </c>
      <c r="AF17" s="1" t="n">
        <v>0</v>
      </c>
    </row>
    <row r="18" customFormat="false" ht="12.75" hidden="false" customHeight="false" outlineLevel="0" collapsed="false">
      <c r="A18" s="1" t="s">
        <v>246</v>
      </c>
      <c r="B18" s="1" t="n">
        <v>0</v>
      </c>
      <c r="C18" s="1" t="n">
        <v>0.806</v>
      </c>
      <c r="D18" s="1" t="n">
        <v>19.4</v>
      </c>
      <c r="E18" s="57" t="n">
        <v>0.5</v>
      </c>
      <c r="F18" s="1" t="n">
        <v>8</v>
      </c>
      <c r="G18" s="1" t="n">
        <v>64.7</v>
      </c>
      <c r="H18" s="1" t="n">
        <v>12.7</v>
      </c>
      <c r="I18" s="1" t="n">
        <v>55.7</v>
      </c>
      <c r="J18" s="25" t="n">
        <v>0.5043</v>
      </c>
      <c r="K18" s="1" t="n">
        <v>0</v>
      </c>
      <c r="L18" s="1" t="n">
        <v>1</v>
      </c>
      <c r="M18" s="1" t="n">
        <v>9</v>
      </c>
      <c r="N18" s="1" t="n">
        <v>5</v>
      </c>
      <c r="O18" s="1" t="n">
        <v>13</v>
      </c>
      <c r="P18" s="1" t="n">
        <v>0.679</v>
      </c>
      <c r="Q18" s="1" t="n">
        <v>393</v>
      </c>
      <c r="R18" s="1" t="n">
        <v>28.012</v>
      </c>
      <c r="S18" s="1" t="n">
        <v>9.2</v>
      </c>
      <c r="T18" s="1" t="n">
        <v>1021</v>
      </c>
      <c r="U18" s="1" t="n">
        <v>8.8</v>
      </c>
      <c r="V18" s="1" t="n">
        <v>11283</v>
      </c>
      <c r="W18" s="1" t="n">
        <f aca="false">K18*L18</f>
        <v>0</v>
      </c>
      <c r="X18" s="1" t="n">
        <v>0</v>
      </c>
      <c r="Y18" s="1" t="n">
        <v>51.1</v>
      </c>
      <c r="Z18" s="1" t="n">
        <f aca="false">IF(M18+N18=0, 0, M18/(M18+N18))</f>
        <v>0.642857142857143</v>
      </c>
      <c r="AA18" s="1" t="n">
        <f aca="false">M18+N18</f>
        <v>14</v>
      </c>
      <c r="AE18" s="1" t="n">
        <v>9</v>
      </c>
      <c r="AF18" s="1" t="n">
        <v>1</v>
      </c>
    </row>
    <row r="19" customFormat="false" ht="12.75" hidden="false" customHeight="false" outlineLevel="0" collapsed="false">
      <c r="A19" s="1" t="s">
        <v>43</v>
      </c>
      <c r="B19" s="1" t="n">
        <v>1</v>
      </c>
      <c r="C19" s="1" t="n">
        <v>0.939</v>
      </c>
      <c r="D19" s="1" t="n">
        <v>25.3</v>
      </c>
      <c r="E19" s="57" t="n">
        <f aca="false">5/6</f>
        <v>0.8333333333</v>
      </c>
      <c r="F19" s="1" t="n">
        <v>10</v>
      </c>
      <c r="G19" s="1" t="n">
        <v>77</v>
      </c>
      <c r="H19" s="1" t="n">
        <v>11.2</v>
      </c>
      <c r="I19" s="1" t="n">
        <v>63</v>
      </c>
      <c r="J19" s="25" t="n">
        <v>0.5561</v>
      </c>
      <c r="K19" s="1" t="n">
        <v>1</v>
      </c>
      <c r="L19" s="1" t="n">
        <v>0</v>
      </c>
      <c r="M19" s="1" t="n">
        <v>7</v>
      </c>
      <c r="N19" s="1" t="n">
        <v>2</v>
      </c>
      <c r="O19" s="1" t="n">
        <v>18</v>
      </c>
      <c r="P19" s="1" t="n">
        <v>0.708</v>
      </c>
      <c r="Q19" s="1" t="n">
        <v>370</v>
      </c>
      <c r="R19" s="1" t="n">
        <v>30.626</v>
      </c>
      <c r="S19" s="1" t="n">
        <v>11.4</v>
      </c>
      <c r="T19" s="1" t="n">
        <v>1231</v>
      </c>
      <c r="U19" s="1" t="n">
        <v>17.3</v>
      </c>
      <c r="V19" s="1" t="n">
        <v>6212</v>
      </c>
      <c r="W19" s="1" t="n">
        <f aca="false">K19*L19</f>
        <v>0</v>
      </c>
      <c r="X19" s="1" t="n">
        <v>1</v>
      </c>
      <c r="Y19" s="1" t="n">
        <v>59.1</v>
      </c>
      <c r="Z19" s="1" t="n">
        <f aca="false">IF(M19+N19=0, 0, M19/(M19+N19))</f>
        <v>0.777777777777778</v>
      </c>
      <c r="AA19" s="1" t="n">
        <f aca="false">M19+N19</f>
        <v>9</v>
      </c>
      <c r="AE19" s="1" t="n">
        <v>14</v>
      </c>
      <c r="AF19" s="1" t="n">
        <v>0</v>
      </c>
    </row>
    <row r="20" customFormat="false" ht="12.75" hidden="false" customHeight="false" outlineLevel="0" collapsed="false">
      <c r="A20" s="1" t="s">
        <v>249</v>
      </c>
      <c r="B20" s="1" t="n">
        <v>1</v>
      </c>
      <c r="C20" s="1" t="n">
        <v>0.679</v>
      </c>
      <c r="D20" s="1" t="n">
        <v>6.2</v>
      </c>
      <c r="E20" s="57" t="n">
        <v>0.556</v>
      </c>
      <c r="F20" s="1" t="n">
        <v>7</v>
      </c>
      <c r="G20" s="1" t="n">
        <v>68.3</v>
      </c>
      <c r="H20" s="1" t="n">
        <v>13.5</v>
      </c>
      <c r="I20" s="1" t="n">
        <v>65.6</v>
      </c>
      <c r="J20" s="25" t="n">
        <v>0.5466</v>
      </c>
      <c r="K20" s="1" t="n">
        <v>1</v>
      </c>
      <c r="L20" s="1" t="n">
        <v>0</v>
      </c>
      <c r="M20" s="1" t="n">
        <v>0</v>
      </c>
      <c r="N20" s="1" t="n">
        <v>2</v>
      </c>
      <c r="O20" s="1" t="n">
        <v>14</v>
      </c>
      <c r="P20" s="1" t="n">
        <v>0.723</v>
      </c>
      <c r="Q20" s="1" t="n">
        <v>378</v>
      </c>
      <c r="R20" s="1" t="n">
        <v>24.909</v>
      </c>
      <c r="S20" s="1" t="n">
        <v>7.3</v>
      </c>
      <c r="T20" s="1" t="n">
        <v>823</v>
      </c>
      <c r="U20" s="1" t="n">
        <v>4.7</v>
      </c>
      <c r="V20" s="1" t="n">
        <v>2152</v>
      </c>
      <c r="W20" s="1" t="n">
        <f aca="false">K20*L20</f>
        <v>0</v>
      </c>
      <c r="X20" s="1" t="n">
        <v>0</v>
      </c>
      <c r="Y20" s="1" t="n">
        <v>49.6</v>
      </c>
      <c r="Z20" s="1" t="n">
        <f aca="false">IF(M20+N20=0, 0, M20/(M20+N20))</f>
        <v>0</v>
      </c>
      <c r="AA20" s="1" t="n">
        <f aca="false">M20+N20</f>
        <v>2</v>
      </c>
      <c r="AE20" s="1" t="n">
        <v>3</v>
      </c>
      <c r="AF20" s="1" t="n">
        <v>0</v>
      </c>
    </row>
    <row r="21" customFormat="false" ht="12.75" hidden="false" customHeight="false" outlineLevel="0" collapsed="false">
      <c r="A21" s="1" t="s">
        <v>363</v>
      </c>
      <c r="B21" s="1" t="n">
        <v>1</v>
      </c>
      <c r="C21" s="1" t="n">
        <v>0.647</v>
      </c>
      <c r="D21" s="1" t="n">
        <v>14</v>
      </c>
      <c r="E21" s="57" t="n">
        <v>0.833</v>
      </c>
      <c r="F21" s="1" t="n">
        <v>6</v>
      </c>
      <c r="G21" s="1" t="n">
        <v>68.5</v>
      </c>
      <c r="H21" s="1" t="n">
        <v>11.5</v>
      </c>
      <c r="I21" s="1" t="n">
        <v>65.3</v>
      </c>
      <c r="J21" s="25" t="n">
        <v>0.5501</v>
      </c>
      <c r="K21" s="1" t="n">
        <v>0</v>
      </c>
      <c r="L21" s="1" t="n">
        <v>1</v>
      </c>
      <c r="M21" s="1" t="n">
        <v>6</v>
      </c>
      <c r="N21" s="1" t="n">
        <v>10</v>
      </c>
      <c r="O21" s="1" t="n">
        <v>19</v>
      </c>
      <c r="P21" s="1" t="n">
        <v>0.726</v>
      </c>
      <c r="Q21" s="1" t="n">
        <v>391</v>
      </c>
      <c r="R21" s="1" t="n">
        <v>35.088</v>
      </c>
      <c r="S21" s="1" t="n">
        <v>11.8</v>
      </c>
      <c r="T21" s="1" t="n">
        <v>1140</v>
      </c>
      <c r="U21" s="1" t="n">
        <v>3.2</v>
      </c>
      <c r="V21" s="1" t="n">
        <v>14986</v>
      </c>
      <c r="W21" s="1" t="n">
        <f aca="false">K21*L21</f>
        <v>0</v>
      </c>
      <c r="X21" s="1" t="n">
        <v>0</v>
      </c>
      <c r="Y21" s="1" t="n">
        <v>51.7</v>
      </c>
      <c r="Z21" s="1" t="n">
        <f aca="false">IF(M21+N21=0, 0, M21/(M21+N21))</f>
        <v>0.375</v>
      </c>
      <c r="AA21" s="1" t="n">
        <f aca="false">M21+N21</f>
        <v>16</v>
      </c>
      <c r="AE21" s="1" t="n">
        <v>3</v>
      </c>
      <c r="AF21" s="1" t="n">
        <v>0</v>
      </c>
    </row>
    <row r="22" customFormat="false" ht="12.75" hidden="false" customHeight="false" outlineLevel="0" collapsed="false">
      <c r="A22" s="1" t="s">
        <v>190</v>
      </c>
      <c r="B22" s="1" t="n">
        <v>2</v>
      </c>
      <c r="C22" s="1" t="n">
        <v>0.818</v>
      </c>
      <c r="D22" s="1" t="n">
        <v>25.6</v>
      </c>
      <c r="E22" s="57" t="n">
        <v>0.5</v>
      </c>
      <c r="F22" s="1" t="n">
        <v>7</v>
      </c>
      <c r="G22" s="1" t="n">
        <v>78.6</v>
      </c>
      <c r="H22" s="1" t="n">
        <v>13</v>
      </c>
      <c r="I22" s="1" t="n">
        <v>62.5</v>
      </c>
      <c r="J22" s="25" t="n">
        <v>0.5394</v>
      </c>
      <c r="K22" s="1" t="n">
        <v>0</v>
      </c>
      <c r="L22" s="1" t="n">
        <v>1</v>
      </c>
      <c r="M22" s="1" t="n">
        <v>9</v>
      </c>
      <c r="N22" s="1" t="n">
        <v>6</v>
      </c>
      <c r="O22" s="1" t="n">
        <v>17</v>
      </c>
      <c r="P22" s="1" t="n">
        <v>0.743</v>
      </c>
      <c r="Q22" s="1" t="n">
        <v>429</v>
      </c>
      <c r="R22" s="1" t="n">
        <v>32.261</v>
      </c>
      <c r="S22" s="1" t="n">
        <v>8.9</v>
      </c>
      <c r="T22" s="1" t="n">
        <v>1274</v>
      </c>
      <c r="U22" s="1" t="n">
        <v>17.5</v>
      </c>
      <c r="V22" s="1" t="n">
        <v>16462</v>
      </c>
      <c r="W22" s="1" t="n">
        <f aca="false">K22*L22</f>
        <v>0</v>
      </c>
      <c r="X22" s="1" t="n">
        <v>1</v>
      </c>
      <c r="Y22" s="1" t="n">
        <v>57.6</v>
      </c>
      <c r="Z22" s="1" t="n">
        <f aca="false">IF(M22+N22=0, 0, M22/(M22+N22))</f>
        <v>0.6</v>
      </c>
      <c r="AA22" s="1" t="n">
        <f aca="false">M22+N22</f>
        <v>15</v>
      </c>
      <c r="AE22" s="1" t="n">
        <v>7</v>
      </c>
      <c r="AF22" s="1" t="n">
        <v>1</v>
      </c>
    </row>
    <row r="23" customFormat="false" ht="12.75" hidden="false" customHeight="false" outlineLevel="0" collapsed="false">
      <c r="A23" s="1" t="s">
        <v>87</v>
      </c>
      <c r="B23" s="1" t="n">
        <v>0</v>
      </c>
      <c r="C23" s="1" t="n">
        <v>0.606</v>
      </c>
      <c r="D23" s="1" t="n">
        <v>6.6</v>
      </c>
      <c r="E23" s="57" t="n">
        <v>0.167</v>
      </c>
      <c r="F23" s="1" t="n">
        <v>6</v>
      </c>
      <c r="G23" s="1" t="n">
        <v>80.4</v>
      </c>
      <c r="H23" s="1" t="n">
        <v>12.2</v>
      </c>
      <c r="I23" s="1" t="n">
        <v>76.5</v>
      </c>
      <c r="J23" s="25" t="n">
        <v>0.5296</v>
      </c>
      <c r="K23" s="1" t="n">
        <v>1</v>
      </c>
      <c r="L23" s="1" t="n">
        <v>0</v>
      </c>
      <c r="M23" s="1" t="n">
        <v>1</v>
      </c>
      <c r="N23" s="1" t="n">
        <v>1</v>
      </c>
      <c r="O23" s="1" t="n">
        <v>18</v>
      </c>
      <c r="P23" s="1" t="n">
        <v>0.781</v>
      </c>
      <c r="Q23" s="1" t="n">
        <v>401</v>
      </c>
      <c r="R23" s="1" t="n">
        <v>32.044</v>
      </c>
      <c r="S23" s="1" t="n">
        <v>11.5</v>
      </c>
      <c r="T23" s="1" t="n">
        <v>1189</v>
      </c>
      <c r="U23" s="1" t="n">
        <v>4.9</v>
      </c>
      <c r="V23" s="1" t="n">
        <v>2476</v>
      </c>
      <c r="W23" s="1" t="n">
        <f aca="false">K23*L23</f>
        <v>0</v>
      </c>
      <c r="X23" s="1" t="n">
        <v>0</v>
      </c>
      <c r="Y23" s="1" t="n">
        <v>53.8</v>
      </c>
      <c r="Z23" s="1" t="n">
        <f aca="false">IF(M23+N23=0, 0, M23/(M23+N23))</f>
        <v>0.5</v>
      </c>
      <c r="AA23" s="1" t="n">
        <f aca="false">M23+N23</f>
        <v>2</v>
      </c>
      <c r="AE23" s="1" t="n">
        <v>2</v>
      </c>
      <c r="AF23" s="1" t="n">
        <v>0</v>
      </c>
    </row>
    <row r="24" customFormat="false" ht="12.75" hidden="false" customHeight="false" outlineLevel="0" collapsed="false">
      <c r="A24" s="1" t="s">
        <v>192</v>
      </c>
      <c r="B24" s="1" t="n">
        <v>1</v>
      </c>
      <c r="C24" s="1" t="n">
        <v>0.667</v>
      </c>
      <c r="D24" s="1" t="n">
        <v>17.4</v>
      </c>
      <c r="E24" s="57" t="n">
        <v>0.4</v>
      </c>
      <c r="F24" s="1" t="n">
        <v>6</v>
      </c>
      <c r="G24" s="1" t="n">
        <v>79.4</v>
      </c>
      <c r="H24" s="1" t="n">
        <v>13.3</v>
      </c>
      <c r="I24" s="1" t="n">
        <v>71.2</v>
      </c>
      <c r="J24" s="25" t="n">
        <v>0.513</v>
      </c>
      <c r="K24" s="1" t="n">
        <v>0</v>
      </c>
      <c r="L24" s="1" t="n">
        <v>1</v>
      </c>
      <c r="M24" s="1" t="n">
        <v>6</v>
      </c>
      <c r="N24" s="1" t="n">
        <v>7</v>
      </c>
      <c r="O24" s="1" t="n">
        <v>20</v>
      </c>
      <c r="P24" s="1" t="n">
        <v>0.731</v>
      </c>
      <c r="Q24" s="1" t="n">
        <v>438</v>
      </c>
      <c r="R24" s="1" t="n">
        <v>31.69</v>
      </c>
      <c r="S24" s="1" t="n">
        <v>12.3</v>
      </c>
      <c r="T24" s="1" t="n">
        <v>1278</v>
      </c>
      <c r="U24" s="1" t="n">
        <v>8.4</v>
      </c>
      <c r="V24" s="1" t="n">
        <v>13015</v>
      </c>
      <c r="W24" s="1" t="n">
        <f aca="false">K24*L24</f>
        <v>0</v>
      </c>
      <c r="X24" s="1" t="n">
        <v>0</v>
      </c>
      <c r="Y24" s="1" t="n">
        <v>53.9</v>
      </c>
      <c r="Z24" s="1" t="n">
        <f aca="false">IF(M24+N24=0, 0, M24/(M24+N24))</f>
        <v>0.461538461538462</v>
      </c>
      <c r="AA24" s="1" t="n">
        <f aca="false">M24+N24</f>
        <v>13</v>
      </c>
      <c r="AE24" s="1" t="n">
        <v>2</v>
      </c>
      <c r="AF24" s="1" t="n">
        <v>0</v>
      </c>
    </row>
    <row r="25" customFormat="false" ht="12.75" hidden="false" customHeight="false" outlineLevel="0" collapsed="false">
      <c r="A25" s="1" t="s">
        <v>364</v>
      </c>
      <c r="B25" s="1" t="n">
        <v>0</v>
      </c>
      <c r="C25" s="1" t="n">
        <v>0.588</v>
      </c>
      <c r="D25" s="1" t="n">
        <v>-0.7</v>
      </c>
      <c r="E25" s="57" t="n">
        <v>0.5</v>
      </c>
      <c r="F25" s="1" t="n">
        <v>7</v>
      </c>
      <c r="G25" s="1" t="n">
        <v>65.2</v>
      </c>
      <c r="H25" s="1" t="n">
        <v>11.2</v>
      </c>
      <c r="I25" s="1" t="n">
        <v>64.4</v>
      </c>
      <c r="J25" s="25" t="n">
        <v>0.4508</v>
      </c>
      <c r="K25" s="1" t="n">
        <v>1</v>
      </c>
      <c r="L25" s="1" t="n">
        <v>0</v>
      </c>
      <c r="M25" s="1" t="n">
        <v>0</v>
      </c>
      <c r="N25" s="1" t="n">
        <v>0</v>
      </c>
      <c r="O25" s="1" t="n">
        <v>15</v>
      </c>
      <c r="P25" s="1" t="n">
        <v>0.699</v>
      </c>
      <c r="Q25" s="1" t="n">
        <v>380</v>
      </c>
      <c r="R25" s="1" t="n">
        <v>30.576</v>
      </c>
      <c r="S25" s="1" t="n">
        <v>10</v>
      </c>
      <c r="T25" s="1" t="n">
        <v>1112</v>
      </c>
      <c r="U25" s="1" t="n">
        <v>0.8</v>
      </c>
      <c r="V25" s="1" t="n">
        <v>3452</v>
      </c>
      <c r="W25" s="1" t="n">
        <f aca="false">K25*L25</f>
        <v>0</v>
      </c>
      <c r="X25" s="1" t="n">
        <v>0</v>
      </c>
      <c r="Y25" s="1" t="n">
        <v>50.2</v>
      </c>
      <c r="Z25" s="1" t="n">
        <f aca="false">IF(M25+N25=0, 0, M25/(M25+N25))</f>
        <v>0</v>
      </c>
      <c r="AA25" s="1" t="n">
        <f aca="false">M25+N25</f>
        <v>0</v>
      </c>
      <c r="AE25" s="1" t="n">
        <v>1</v>
      </c>
      <c r="AF25" s="1" t="n">
        <v>0</v>
      </c>
    </row>
    <row r="26" customFormat="false" ht="12.75" hidden="false" customHeight="false" outlineLevel="0" collapsed="false">
      <c r="A26" s="1" t="s">
        <v>71</v>
      </c>
      <c r="B26" s="1" t="n">
        <v>3</v>
      </c>
      <c r="C26" s="1" t="n">
        <v>0.853</v>
      </c>
      <c r="D26" s="1" t="n">
        <v>22.2</v>
      </c>
      <c r="E26" s="57" t="n">
        <f aca="false">4 / 6</f>
        <v>0.6666666667</v>
      </c>
      <c r="F26" s="1" t="n">
        <v>9</v>
      </c>
      <c r="G26" s="1" t="n">
        <v>75.2</v>
      </c>
      <c r="H26" s="1" t="n">
        <v>13.7</v>
      </c>
      <c r="I26" s="1" t="n">
        <v>61.4</v>
      </c>
      <c r="J26" s="25" t="n">
        <v>0.569</v>
      </c>
      <c r="K26" s="1" t="n">
        <v>1</v>
      </c>
      <c r="L26" s="1" t="n">
        <v>1</v>
      </c>
      <c r="M26" s="1" t="n">
        <v>13</v>
      </c>
      <c r="N26" s="1" t="n">
        <v>3</v>
      </c>
      <c r="O26" s="1" t="n">
        <v>19</v>
      </c>
      <c r="P26" s="1" t="n">
        <v>0.737</v>
      </c>
      <c r="Q26" s="1" t="n">
        <v>465</v>
      </c>
      <c r="R26" s="1" t="n">
        <v>28.045</v>
      </c>
      <c r="S26" s="1" t="n">
        <v>11</v>
      </c>
      <c r="T26" s="1" t="n">
        <v>1330</v>
      </c>
      <c r="U26" s="1" t="n">
        <v>13.9</v>
      </c>
      <c r="V26" s="1" t="n">
        <v>16445</v>
      </c>
      <c r="W26" s="1" t="n">
        <f aca="false">K26*L26</f>
        <v>1</v>
      </c>
      <c r="X26" s="1" t="n">
        <v>1</v>
      </c>
      <c r="Y26" s="1" t="n">
        <v>54.4</v>
      </c>
      <c r="Z26" s="1" t="n">
        <f aca="false">IF(M26+N26=0, 0, M26/(M26+N26))</f>
        <v>0.8125</v>
      </c>
      <c r="AA26" s="1" t="n">
        <f aca="false">M26+N26</f>
        <v>16</v>
      </c>
      <c r="AE26" s="1" t="n">
        <v>15</v>
      </c>
      <c r="AF26" s="1" t="n">
        <v>2</v>
      </c>
    </row>
    <row r="27" customFormat="false" ht="12.75" hidden="false" customHeight="false" outlineLevel="0" collapsed="false">
      <c r="A27" s="1" t="s">
        <v>322</v>
      </c>
      <c r="B27" s="1" t="n">
        <v>0</v>
      </c>
      <c r="C27" s="1" t="n">
        <v>0.794</v>
      </c>
      <c r="D27" s="1" t="n">
        <v>17.5</v>
      </c>
      <c r="E27" s="57" t="n">
        <f aca="false">5/6</f>
        <v>0.8333333333</v>
      </c>
      <c r="F27" s="1" t="n">
        <v>8</v>
      </c>
      <c r="G27" s="1" t="n">
        <v>69</v>
      </c>
      <c r="H27" s="1" t="n">
        <v>11.6</v>
      </c>
      <c r="I27" s="1" t="n">
        <v>60.4</v>
      </c>
      <c r="J27" s="25" t="n">
        <v>0.5091</v>
      </c>
      <c r="K27" s="1" t="n">
        <v>0</v>
      </c>
      <c r="L27" s="1" t="n">
        <v>1</v>
      </c>
      <c r="M27" s="1" t="n">
        <v>6</v>
      </c>
      <c r="N27" s="1" t="n">
        <v>7</v>
      </c>
      <c r="O27" s="1" t="n">
        <v>18</v>
      </c>
      <c r="P27" s="1" t="n">
        <v>0.685</v>
      </c>
      <c r="Q27" s="1" t="n">
        <v>394</v>
      </c>
      <c r="R27" s="1" t="n">
        <v>37.948</v>
      </c>
      <c r="S27" s="1" t="n">
        <v>13.4</v>
      </c>
      <c r="T27" s="1" t="n">
        <v>1199</v>
      </c>
      <c r="U27" s="1" t="n">
        <v>7.3</v>
      </c>
      <c r="V27" s="1" t="n">
        <v>12783</v>
      </c>
      <c r="W27" s="1" t="n">
        <f aca="false">K27*L27</f>
        <v>0</v>
      </c>
      <c r="X27" s="1" t="n">
        <v>0</v>
      </c>
      <c r="Y27" s="1" t="n">
        <v>55.7</v>
      </c>
      <c r="Z27" s="1" t="n">
        <f aca="false">IF(M27+N27=0, 0, M27/(M27+N27))</f>
        <v>0.461538461538462</v>
      </c>
      <c r="AA27" s="1" t="n">
        <f aca="false">M27+N27</f>
        <v>13</v>
      </c>
      <c r="AE27" s="1" t="n">
        <v>9</v>
      </c>
      <c r="AF27" s="1" t="n">
        <v>1</v>
      </c>
    </row>
    <row r="28" customFormat="false" ht="12.75" hidden="false" customHeight="false" outlineLevel="0" collapsed="false">
      <c r="A28" s="1" t="s">
        <v>365</v>
      </c>
      <c r="B28" s="1" t="n">
        <v>2</v>
      </c>
      <c r="C28" s="1" t="n">
        <v>0.7</v>
      </c>
      <c r="D28" s="1" t="n">
        <v>12.2</v>
      </c>
      <c r="E28" s="57" t="n">
        <v>0.833</v>
      </c>
      <c r="F28" s="1" t="n">
        <v>7</v>
      </c>
      <c r="G28" s="1" t="n">
        <v>72.1</v>
      </c>
      <c r="H28" s="1" t="n">
        <v>11.7</v>
      </c>
      <c r="I28" s="1" t="n">
        <v>66</v>
      </c>
      <c r="J28" s="25" t="n">
        <v>0.5244</v>
      </c>
      <c r="K28" s="1" t="n">
        <v>0</v>
      </c>
      <c r="L28" s="1" t="n">
        <v>0</v>
      </c>
      <c r="M28" s="1" t="n">
        <v>4</v>
      </c>
      <c r="N28" s="1" t="n">
        <v>4</v>
      </c>
      <c r="O28" s="1" t="n">
        <v>16</v>
      </c>
      <c r="P28" s="1" t="n">
        <v>0.7</v>
      </c>
      <c r="Q28" s="1" t="n">
        <v>351</v>
      </c>
      <c r="R28" s="1" t="n">
        <v>31.861</v>
      </c>
      <c r="S28" s="1" t="n">
        <v>10.1</v>
      </c>
      <c r="T28" s="1" t="n">
        <v>951</v>
      </c>
      <c r="U28" s="1" t="n">
        <v>6.5</v>
      </c>
      <c r="V28" s="1" t="n">
        <v>2209</v>
      </c>
      <c r="W28" s="1" t="n">
        <f aca="false">K28*L28</f>
        <v>0</v>
      </c>
      <c r="X28" s="1" t="n">
        <v>0</v>
      </c>
      <c r="Y28" s="1" t="n">
        <v>51.9</v>
      </c>
      <c r="Z28" s="1" t="n">
        <f aca="false">IF(M28+N28=0, 0, M28/(M28+N28))</f>
        <v>0.5</v>
      </c>
      <c r="AA28" s="1" t="n">
        <f aca="false">M28+N28</f>
        <v>8</v>
      </c>
      <c r="AE28" s="1" t="n">
        <v>1</v>
      </c>
      <c r="AF28" s="1" t="n">
        <v>0</v>
      </c>
    </row>
    <row r="29" customFormat="false" ht="12.75" hidden="false" customHeight="false" outlineLevel="0" collapsed="false">
      <c r="A29" s="1" t="s">
        <v>366</v>
      </c>
      <c r="B29" s="1" t="n">
        <v>-1</v>
      </c>
      <c r="C29" s="1" t="n">
        <v>0.429</v>
      </c>
      <c r="D29" s="1" t="n">
        <v>-8.6</v>
      </c>
      <c r="E29" s="57" t="n">
        <v>0.444</v>
      </c>
      <c r="F29" s="1" t="n">
        <v>7</v>
      </c>
      <c r="G29" s="1" t="n">
        <v>69.1</v>
      </c>
      <c r="H29" s="1" t="n">
        <v>13.4</v>
      </c>
      <c r="I29" s="1" t="n">
        <v>69.9</v>
      </c>
      <c r="J29" s="25" t="n">
        <v>0.4818</v>
      </c>
      <c r="K29" s="1" t="n">
        <v>1</v>
      </c>
      <c r="L29" s="1" t="n">
        <v>0</v>
      </c>
      <c r="M29" s="1" t="n">
        <v>0</v>
      </c>
      <c r="N29" s="1" t="n">
        <v>2</v>
      </c>
      <c r="O29" s="1" t="n">
        <v>18</v>
      </c>
      <c r="P29" s="1" t="n">
        <v>0.73</v>
      </c>
      <c r="Q29" s="1" t="n">
        <v>469</v>
      </c>
      <c r="R29" s="1" t="n">
        <v>28.926</v>
      </c>
      <c r="S29" s="1" t="n">
        <v>10.3</v>
      </c>
      <c r="T29" s="1" t="n">
        <v>1248</v>
      </c>
      <c r="U29" s="1" t="n">
        <v>-3.4</v>
      </c>
      <c r="V29" s="1" t="n">
        <v>1515</v>
      </c>
      <c r="W29" s="1" t="n">
        <f aca="false">K29*L29</f>
        <v>0</v>
      </c>
      <c r="X29" s="1" t="n">
        <v>0</v>
      </c>
      <c r="Y29" s="1" t="n">
        <v>49.6</v>
      </c>
      <c r="Z29" s="1" t="n">
        <f aca="false">IF(M29+N29=0, 0, M29/(M29+N29))</f>
        <v>0</v>
      </c>
      <c r="AA29" s="1" t="n">
        <f aca="false">M29+N29</f>
        <v>2</v>
      </c>
      <c r="AE29" s="1" t="n">
        <v>2</v>
      </c>
      <c r="AF29" s="1" t="n">
        <v>0</v>
      </c>
    </row>
    <row r="30" customFormat="false" ht="12.75" hidden="false" customHeight="false" outlineLevel="0" collapsed="false">
      <c r="A30" s="1" t="s">
        <v>367</v>
      </c>
      <c r="B30" s="1" t="n">
        <v>-1</v>
      </c>
      <c r="C30" s="1" t="n">
        <v>0.606</v>
      </c>
      <c r="D30" s="1" t="n">
        <v>-2.5</v>
      </c>
      <c r="E30" s="57" t="n">
        <v>0.429</v>
      </c>
      <c r="F30" s="1" t="n">
        <v>8</v>
      </c>
      <c r="G30" s="1" t="n">
        <v>78.7</v>
      </c>
      <c r="H30" s="1" t="n">
        <v>14.4</v>
      </c>
      <c r="I30" s="1" t="n">
        <v>76.4</v>
      </c>
      <c r="J30" s="25" t="n">
        <v>0.4317</v>
      </c>
      <c r="K30" s="1" t="n">
        <v>1</v>
      </c>
      <c r="L30" s="1" t="n">
        <v>0</v>
      </c>
      <c r="M30" s="25" t="n">
        <v>0</v>
      </c>
      <c r="N30" s="1" t="n">
        <v>0</v>
      </c>
      <c r="O30" s="1" t="n">
        <v>20</v>
      </c>
      <c r="P30" s="1" t="n">
        <v>0.69</v>
      </c>
      <c r="Q30" s="1" t="n">
        <v>475</v>
      </c>
      <c r="R30" s="1" t="n">
        <v>33.219</v>
      </c>
      <c r="S30" s="1" t="n">
        <v>11.8</v>
      </c>
      <c r="T30" s="1" t="n">
        <v>1168</v>
      </c>
      <c r="U30" s="1" t="n">
        <v>3.1</v>
      </c>
      <c r="V30" s="1" t="n">
        <v>1052</v>
      </c>
      <c r="W30" s="1" t="n">
        <f aca="false">K30*L30</f>
        <v>0</v>
      </c>
      <c r="X30" s="1" t="n">
        <v>0</v>
      </c>
      <c r="Y30" s="1" t="n">
        <v>55.2</v>
      </c>
      <c r="Z30" s="1" t="n">
        <f aca="false">IF(M30+N30=0, 0, M30/(M30+N30))</f>
        <v>0</v>
      </c>
      <c r="AA30" s="1" t="n">
        <f aca="false">M30+N30</f>
        <v>0</v>
      </c>
      <c r="AE30" s="1" t="n">
        <v>1</v>
      </c>
      <c r="AF30" s="1" t="n">
        <v>0</v>
      </c>
    </row>
    <row r="31" customFormat="false" ht="12.75" hidden="false" customHeight="false" outlineLevel="0" collapsed="false">
      <c r="A31" s="1" t="s">
        <v>109</v>
      </c>
      <c r="B31" s="1" t="n">
        <v>6</v>
      </c>
      <c r="C31" s="1" t="n">
        <v>0.853</v>
      </c>
      <c r="D31" s="1" t="n">
        <v>31</v>
      </c>
      <c r="E31" s="57" t="n">
        <f aca="false">4 / 8</f>
        <v>0.5</v>
      </c>
      <c r="F31" s="1" t="n">
        <v>10</v>
      </c>
      <c r="G31" s="1" t="n">
        <v>74.5</v>
      </c>
      <c r="H31" s="1" t="n">
        <v>12.6</v>
      </c>
      <c r="I31" s="1" t="n">
        <v>58</v>
      </c>
      <c r="J31" s="25" t="n">
        <v>0.5593</v>
      </c>
      <c r="K31" s="1" t="n">
        <v>1</v>
      </c>
      <c r="L31" s="1" t="n">
        <v>1</v>
      </c>
      <c r="M31" s="25" t="n">
        <v>11</v>
      </c>
      <c r="N31" s="1" t="n">
        <v>5</v>
      </c>
      <c r="O31" s="1" t="n">
        <v>17</v>
      </c>
      <c r="P31" s="1" t="n">
        <v>0.709</v>
      </c>
      <c r="Q31" s="1" t="n">
        <v>431</v>
      </c>
      <c r="R31" s="1" t="n">
        <v>36.314</v>
      </c>
      <c r="S31" s="1" t="n">
        <v>13.6</v>
      </c>
      <c r="T31" s="1" t="n">
        <v>1275</v>
      </c>
      <c r="U31" s="1" t="n">
        <v>15.6</v>
      </c>
      <c r="V31" s="1" t="n">
        <v>21503</v>
      </c>
      <c r="W31" s="1" t="n">
        <f aca="false">K31*L31</f>
        <v>1</v>
      </c>
      <c r="X31" s="1" t="n">
        <v>1</v>
      </c>
      <c r="Y31" s="1" t="n">
        <v>55.8</v>
      </c>
      <c r="Z31" s="1" t="n">
        <f aca="false">IF(M31+N31=0, 0, M31/(M31+N31))</f>
        <v>0.6875</v>
      </c>
      <c r="AA31" s="1" t="n">
        <f aca="false">M31+N31</f>
        <v>16</v>
      </c>
      <c r="AE31" s="1" t="n">
        <v>18</v>
      </c>
      <c r="AF31" s="1" t="n">
        <v>7</v>
      </c>
    </row>
    <row r="32" customFormat="false" ht="12.75" hidden="false" customHeight="false" outlineLevel="0" collapsed="false">
      <c r="A32" s="1" t="s">
        <v>110</v>
      </c>
      <c r="B32" s="1" t="n">
        <v>3</v>
      </c>
      <c r="C32" s="1" t="n">
        <v>0.742</v>
      </c>
      <c r="D32" s="1" t="n">
        <v>17</v>
      </c>
      <c r="E32" s="57" t="n">
        <v>0.5</v>
      </c>
      <c r="F32" s="1" t="n">
        <v>7</v>
      </c>
      <c r="G32" s="1" t="n">
        <v>68.1</v>
      </c>
      <c r="H32" s="1" t="n">
        <v>13.6</v>
      </c>
      <c r="I32" s="1" t="n">
        <v>62.7</v>
      </c>
      <c r="J32" s="25" t="n">
        <v>0.5325</v>
      </c>
      <c r="K32" s="1" t="n">
        <v>0</v>
      </c>
      <c r="L32" s="1" t="n">
        <v>1</v>
      </c>
      <c r="M32" s="25" t="n">
        <v>6</v>
      </c>
      <c r="N32" s="1" t="n">
        <v>6</v>
      </c>
      <c r="O32" s="1" t="n">
        <v>21</v>
      </c>
      <c r="P32" s="1" t="n">
        <v>0.73</v>
      </c>
      <c r="Q32" s="1" t="n">
        <v>422</v>
      </c>
      <c r="R32" s="1" t="n">
        <v>32.451</v>
      </c>
      <c r="S32" s="1" t="n">
        <v>11.5</v>
      </c>
      <c r="T32" s="1" t="n">
        <v>1084</v>
      </c>
      <c r="U32" s="1" t="n">
        <v>6.3</v>
      </c>
      <c r="V32" s="1" t="n">
        <v>15138</v>
      </c>
      <c r="W32" s="1" t="n">
        <f aca="false">K32*L32</f>
        <v>0</v>
      </c>
      <c r="X32" s="1" t="n">
        <v>0</v>
      </c>
      <c r="Y32" s="1" t="n">
        <v>54.5</v>
      </c>
      <c r="Z32" s="1" t="n">
        <f aca="false">IF(M32+N32=0, 0, M32/(M32+N32))</f>
        <v>0.5</v>
      </c>
      <c r="AA32" s="1" t="n">
        <f aca="false">M32+N32</f>
        <v>12</v>
      </c>
      <c r="AE32" s="1" t="n">
        <v>5</v>
      </c>
      <c r="AF32" s="1" t="n">
        <v>0</v>
      </c>
    </row>
    <row r="33" customFormat="false" ht="12.75" hidden="false" customHeight="false" outlineLevel="0" collapsed="false">
      <c r="A33" s="1" t="s">
        <v>325</v>
      </c>
      <c r="B33" s="1" t="n">
        <v>1</v>
      </c>
      <c r="C33" s="1" t="n">
        <v>0.882</v>
      </c>
      <c r="D33" s="1" t="n">
        <v>14.7</v>
      </c>
      <c r="E33" s="57" t="n">
        <f aca="false">4/5</f>
        <v>0.8</v>
      </c>
      <c r="F33" s="1" t="n">
        <v>9</v>
      </c>
      <c r="G33" s="1" t="n">
        <v>74.5</v>
      </c>
      <c r="H33" s="1" t="n">
        <v>14.6</v>
      </c>
      <c r="I33" s="1" t="n">
        <v>65.1</v>
      </c>
      <c r="J33" s="25" t="n">
        <v>0.5411</v>
      </c>
      <c r="K33" s="1" t="n">
        <v>1</v>
      </c>
      <c r="L33" s="1" t="n">
        <v>0</v>
      </c>
      <c r="M33" s="25" t="n">
        <v>1</v>
      </c>
      <c r="N33" s="1" t="n">
        <v>3</v>
      </c>
      <c r="O33" s="1" t="n">
        <v>16</v>
      </c>
      <c r="P33" s="1" t="n">
        <v>0.66</v>
      </c>
      <c r="Q33" s="1" t="n">
        <v>497</v>
      </c>
      <c r="R33" s="1" t="n">
        <v>32.934</v>
      </c>
      <c r="S33" s="1" t="n">
        <v>12.3</v>
      </c>
      <c r="T33" s="1" t="n">
        <v>1285</v>
      </c>
      <c r="U33" s="1" t="n">
        <v>10.7</v>
      </c>
      <c r="V33" s="1" t="n">
        <v>16234</v>
      </c>
      <c r="W33" s="1" t="n">
        <f aca="false">K33*L33</f>
        <v>0</v>
      </c>
      <c r="X33" s="1" t="n">
        <v>0</v>
      </c>
      <c r="Y33" s="1" t="n">
        <v>55.2</v>
      </c>
      <c r="Z33" s="1" t="n">
        <f aca="false">IF(M33+N33=0, 0, M33/(M33+N33))</f>
        <v>0.25</v>
      </c>
      <c r="AA33" s="1" t="n">
        <f aca="false">M33+N33</f>
        <v>4</v>
      </c>
      <c r="AE33" s="1" t="n">
        <v>3</v>
      </c>
      <c r="AF33" s="1" t="n">
        <v>0</v>
      </c>
    </row>
    <row r="34" customFormat="false" ht="12.75" hidden="false" customHeight="false" outlineLevel="0" collapsed="false">
      <c r="A34" s="1" t="s">
        <v>193</v>
      </c>
      <c r="B34" s="1" t="n">
        <v>2</v>
      </c>
      <c r="C34" s="1" t="n">
        <v>0.818</v>
      </c>
      <c r="D34" s="1" t="n">
        <v>19.8</v>
      </c>
      <c r="E34" s="57" t="n">
        <f aca="false">4/7</f>
        <v>0.571428571428571</v>
      </c>
      <c r="F34" s="1" t="n">
        <v>7</v>
      </c>
      <c r="G34" s="1" t="n">
        <v>69.7</v>
      </c>
      <c r="H34" s="1" t="n">
        <v>10.9</v>
      </c>
      <c r="I34" s="1" t="n">
        <v>60.7</v>
      </c>
      <c r="J34" s="25" t="n">
        <v>0.5946</v>
      </c>
      <c r="K34" s="1" t="n">
        <v>1</v>
      </c>
      <c r="L34" s="1" t="n">
        <v>1</v>
      </c>
      <c r="M34" s="25" t="n">
        <v>8</v>
      </c>
      <c r="N34" s="1" t="n">
        <v>3</v>
      </c>
      <c r="O34" s="1" t="n">
        <v>21</v>
      </c>
      <c r="P34" s="1" t="n">
        <v>0.682</v>
      </c>
      <c r="Q34" s="1" t="n">
        <v>360</v>
      </c>
      <c r="R34" s="1" t="n">
        <v>27.885</v>
      </c>
      <c r="S34" s="1" t="n">
        <v>10</v>
      </c>
      <c r="T34" s="1" t="n">
        <v>1180</v>
      </c>
      <c r="U34" s="1" t="n">
        <v>9.2</v>
      </c>
      <c r="V34" s="1" t="n">
        <v>3936</v>
      </c>
      <c r="W34" s="1" t="n">
        <f aca="false">K34*L34</f>
        <v>1</v>
      </c>
      <c r="X34" s="1" t="n">
        <v>1</v>
      </c>
      <c r="Y34" s="1" t="n">
        <v>53.7</v>
      </c>
      <c r="Z34" s="1" t="n">
        <f aca="false">IF(M34+N34=0, 0, M34/(M34+N34))</f>
        <v>0.727272727272727</v>
      </c>
      <c r="AA34" s="1" t="n">
        <f aca="false">M34+N34</f>
        <v>11</v>
      </c>
      <c r="AE34" s="1" t="n">
        <v>6</v>
      </c>
      <c r="AF34" s="1" t="n">
        <v>1</v>
      </c>
    </row>
    <row r="35" customFormat="false" ht="12.75" hidden="false" customHeight="false" outlineLevel="0" collapsed="false">
      <c r="A35" s="1" t="s">
        <v>368</v>
      </c>
      <c r="B35" s="1" t="n">
        <v>5</v>
      </c>
      <c r="C35" s="1" t="n">
        <v>0.788</v>
      </c>
      <c r="D35" s="1" t="n">
        <v>26</v>
      </c>
      <c r="E35" s="57" t="n">
        <f aca="false">4/7</f>
        <v>0.571428571428571</v>
      </c>
      <c r="F35" s="1" t="n">
        <v>5</v>
      </c>
      <c r="G35" s="1" t="n">
        <v>75.2</v>
      </c>
      <c r="H35" s="1" t="n">
        <v>14.3</v>
      </c>
      <c r="I35" s="1" t="n">
        <v>62.9</v>
      </c>
      <c r="J35" s="25" t="n">
        <v>0.4978</v>
      </c>
      <c r="K35" s="1" t="n">
        <v>0</v>
      </c>
      <c r="L35" s="1" t="n">
        <v>1</v>
      </c>
      <c r="M35" s="25" t="n">
        <v>7</v>
      </c>
      <c r="N35" s="1" t="n">
        <v>5</v>
      </c>
      <c r="O35" s="1" t="n">
        <v>11</v>
      </c>
      <c r="P35" s="1" t="n">
        <v>0.701</v>
      </c>
      <c r="Q35" s="1" t="n">
        <v>304</v>
      </c>
      <c r="R35" s="1" t="n">
        <v>30.371</v>
      </c>
      <c r="S35" s="1" t="n">
        <v>10.7</v>
      </c>
      <c r="T35" s="1" t="n">
        <v>1159</v>
      </c>
      <c r="U35" s="1" t="n">
        <v>11.4</v>
      </c>
      <c r="V35" s="1" t="n">
        <v>11436</v>
      </c>
      <c r="W35" s="1" t="n">
        <f aca="false">K35*L35</f>
        <v>0</v>
      </c>
      <c r="X35" s="1" t="n">
        <v>0</v>
      </c>
      <c r="Y35" s="1" t="n">
        <v>57.6</v>
      </c>
      <c r="Z35" s="1" t="n">
        <f aca="false">IF(M35+N35=0, 0, M35/(M35+N35))</f>
        <v>0.583333333333333</v>
      </c>
      <c r="AA35" s="1" t="n">
        <f aca="false">M35+N35</f>
        <v>12</v>
      </c>
      <c r="AE35" s="1" t="n">
        <v>8</v>
      </c>
      <c r="AF35" s="1" t="n">
        <v>1</v>
      </c>
    </row>
    <row r="36" customFormat="false" ht="12.75" hidden="false" customHeight="false" outlineLevel="0" collapsed="false">
      <c r="A36" s="1" t="s">
        <v>194</v>
      </c>
      <c r="B36" s="1" t="n">
        <v>2</v>
      </c>
      <c r="C36" s="1" t="n">
        <v>0.758</v>
      </c>
      <c r="D36" s="1" t="n">
        <v>22.3</v>
      </c>
      <c r="E36" s="57" t="n">
        <f aca="false">8/12</f>
        <v>0.6666666667</v>
      </c>
      <c r="F36" s="1" t="n">
        <v>6</v>
      </c>
      <c r="G36" s="1" t="n">
        <v>68</v>
      </c>
      <c r="H36" s="1" t="n">
        <v>20.7</v>
      </c>
      <c r="I36" s="1" t="n">
        <v>59.3</v>
      </c>
      <c r="J36" s="25" t="n">
        <v>0.5425</v>
      </c>
      <c r="K36" s="1" t="n">
        <v>0</v>
      </c>
      <c r="L36" s="1" t="n">
        <v>1</v>
      </c>
      <c r="M36" s="25" t="n">
        <v>8</v>
      </c>
      <c r="N36" s="1" t="n">
        <v>7</v>
      </c>
      <c r="O36" s="1" t="n">
        <v>14</v>
      </c>
      <c r="P36" s="1" t="n">
        <v>0.714</v>
      </c>
      <c r="Q36" s="1" t="n">
        <v>443</v>
      </c>
      <c r="R36" s="1" t="n">
        <v>30.813</v>
      </c>
      <c r="S36" s="1" t="n">
        <v>11.5</v>
      </c>
      <c r="T36" s="1" t="n">
        <v>1230</v>
      </c>
      <c r="U36" s="1" t="n">
        <v>8.1</v>
      </c>
      <c r="V36" s="1" t="n">
        <v>14797</v>
      </c>
      <c r="W36" s="1" t="n">
        <f aca="false">K36*L36</f>
        <v>0</v>
      </c>
      <c r="X36" s="1" t="n">
        <v>0</v>
      </c>
      <c r="Y36" s="1" t="n">
        <v>53.9</v>
      </c>
      <c r="Z36" s="1" t="n">
        <f aca="false">IF(M36+N36=0, 0, M36/(M36+N36))</f>
        <v>0.533333333333333</v>
      </c>
      <c r="AA36" s="1" t="n">
        <f aca="false">M36+N36</f>
        <v>15</v>
      </c>
      <c r="AE36" s="1" t="n">
        <v>16</v>
      </c>
      <c r="AF36" s="1" t="n">
        <v>6</v>
      </c>
    </row>
    <row r="37" customFormat="false" ht="12.75" hidden="false" customHeight="false" outlineLevel="0" collapsed="false">
      <c r="A37" s="1" t="s">
        <v>369</v>
      </c>
      <c r="B37" s="1" t="n">
        <v>-1</v>
      </c>
      <c r="C37" s="1" t="n">
        <v>0.848</v>
      </c>
      <c r="D37" s="1" t="n">
        <v>11.6</v>
      </c>
      <c r="E37" s="57" t="n">
        <f aca="false">6 / 7</f>
        <v>0.8571428571</v>
      </c>
      <c r="F37" s="1" t="n">
        <v>9</v>
      </c>
      <c r="G37" s="1" t="n">
        <v>70.7</v>
      </c>
      <c r="H37" s="1" t="n">
        <v>20.8</v>
      </c>
      <c r="I37" s="1" t="n">
        <v>61.4</v>
      </c>
      <c r="J37" s="25" t="n">
        <v>0.5845</v>
      </c>
      <c r="K37" s="1" t="n">
        <v>0</v>
      </c>
      <c r="L37" s="1" t="n">
        <v>0</v>
      </c>
      <c r="M37" s="25" t="n">
        <v>2</v>
      </c>
      <c r="N37" s="1" t="n">
        <v>2</v>
      </c>
      <c r="O37" s="1" t="n">
        <v>22</v>
      </c>
      <c r="P37" s="1" t="n">
        <v>0.695</v>
      </c>
      <c r="Q37" s="1" t="n">
        <v>455</v>
      </c>
      <c r="R37" s="1" t="n">
        <v>33.004</v>
      </c>
      <c r="S37" s="1" t="n">
        <v>12.2</v>
      </c>
      <c r="T37" s="1" t="n">
        <v>1215</v>
      </c>
      <c r="U37" s="1" t="n">
        <v>13.5</v>
      </c>
      <c r="V37" s="1" t="n">
        <v>5329</v>
      </c>
      <c r="W37" s="1" t="n">
        <f aca="false">K37*L37</f>
        <v>0</v>
      </c>
      <c r="X37" s="1" t="n">
        <v>0</v>
      </c>
      <c r="Y37" s="1" t="n">
        <v>54.8</v>
      </c>
      <c r="Z37" s="1" t="n">
        <f aca="false">IF(M37+N37=0, 0, M37/(M37+N37))</f>
        <v>0.5</v>
      </c>
      <c r="AA37" s="1" t="n">
        <f aca="false">M37+N37</f>
        <v>4</v>
      </c>
      <c r="AE37" s="1" t="n">
        <v>3</v>
      </c>
      <c r="AF37" s="1" t="n">
        <v>0</v>
      </c>
    </row>
    <row r="38" customFormat="false" ht="12.75" hidden="false" customHeight="false" outlineLevel="0" collapsed="false">
      <c r="A38" s="1" t="s">
        <v>114</v>
      </c>
      <c r="B38" s="1" t="n">
        <v>1</v>
      </c>
      <c r="C38" s="1" t="n">
        <v>0.625</v>
      </c>
      <c r="D38" s="1" t="n">
        <v>17</v>
      </c>
      <c r="E38" s="57" t="n">
        <v>0.5</v>
      </c>
      <c r="F38" s="1" t="n">
        <v>3</v>
      </c>
      <c r="G38" s="1" t="n">
        <v>68.7</v>
      </c>
      <c r="H38" s="1" t="n">
        <v>21.7</v>
      </c>
      <c r="I38" s="1" t="n">
        <v>61.7</v>
      </c>
      <c r="J38" s="25" t="n">
        <v>0.5762</v>
      </c>
      <c r="K38" s="1" t="n">
        <v>0</v>
      </c>
      <c r="L38" s="1" t="n">
        <v>1</v>
      </c>
      <c r="M38" s="25" t="n">
        <v>6</v>
      </c>
      <c r="N38" s="1" t="n">
        <v>9</v>
      </c>
      <c r="O38" s="1" t="n">
        <v>17</v>
      </c>
      <c r="P38" s="1" t="n">
        <v>0.685</v>
      </c>
      <c r="Q38" s="1" t="n">
        <v>440</v>
      </c>
      <c r="R38" s="1" t="n">
        <v>38.375</v>
      </c>
      <c r="S38" s="1" t="n">
        <v>14.9</v>
      </c>
      <c r="T38" s="1" t="n">
        <v>1243</v>
      </c>
      <c r="U38" s="1" t="n">
        <v>6.8</v>
      </c>
      <c r="V38" s="1" t="n">
        <v>11794</v>
      </c>
      <c r="W38" s="1" t="n">
        <f aca="false">K38*L38</f>
        <v>0</v>
      </c>
      <c r="X38" s="1" t="n">
        <v>1</v>
      </c>
      <c r="Y38" s="1" t="n">
        <v>57.4</v>
      </c>
      <c r="Z38" s="1" t="n">
        <f aca="false">IF(M38+N38=0, 0, M38/(M38+N38))</f>
        <v>0.4</v>
      </c>
      <c r="AA38" s="1" t="n">
        <f aca="false">M38+N38</f>
        <v>15</v>
      </c>
      <c r="AE38" s="1" t="n">
        <v>17</v>
      </c>
      <c r="AF38" s="1" t="n">
        <v>1</v>
      </c>
    </row>
    <row r="39" customFormat="false" ht="12.75" hidden="false" customHeight="false" outlineLevel="0" collapsed="false">
      <c r="A39" s="1" t="s">
        <v>39</v>
      </c>
      <c r="B39" s="1" t="n">
        <v>0</v>
      </c>
      <c r="C39" s="1" t="n">
        <v>0.697</v>
      </c>
      <c r="D39" s="1" t="n">
        <v>16.3</v>
      </c>
      <c r="E39" s="57" t="n">
        <v>0.429</v>
      </c>
      <c r="F39" s="1" t="n">
        <v>6</v>
      </c>
      <c r="G39" s="1" t="n">
        <v>76.1</v>
      </c>
      <c r="H39" s="1" t="n">
        <v>19.3</v>
      </c>
      <c r="I39" s="1" t="n">
        <v>66.2</v>
      </c>
      <c r="J39" s="25" t="n">
        <v>0.5318</v>
      </c>
      <c r="K39" s="1" t="n">
        <v>0</v>
      </c>
      <c r="L39" s="1" t="n">
        <v>1</v>
      </c>
      <c r="M39" s="25" t="n">
        <v>4</v>
      </c>
      <c r="N39" s="1" t="n">
        <v>4</v>
      </c>
      <c r="O39" s="1" t="n">
        <v>20</v>
      </c>
      <c r="P39" s="1" t="n">
        <v>0.733</v>
      </c>
      <c r="Q39" s="1" t="n">
        <v>437</v>
      </c>
      <c r="R39" s="1" t="n">
        <v>32.992</v>
      </c>
      <c r="S39" s="1" t="n">
        <v>13.7</v>
      </c>
      <c r="T39" s="1" t="n">
        <v>1367</v>
      </c>
      <c r="U39" s="1" t="n">
        <v>10.1</v>
      </c>
      <c r="V39" s="1" t="n">
        <v>11830</v>
      </c>
      <c r="W39" s="1" t="n">
        <f aca="false">K39*L39</f>
        <v>0</v>
      </c>
      <c r="X39" s="1" t="n">
        <v>1</v>
      </c>
      <c r="Y39" s="1" t="n">
        <v>56.4</v>
      </c>
      <c r="Z39" s="1" t="n">
        <f aca="false">IF(M39+N39=0, 0, M39/(M39+N39))</f>
        <v>0.5</v>
      </c>
      <c r="AA39" s="1" t="n">
        <f aca="false">M39+N39</f>
        <v>8</v>
      </c>
      <c r="AE39" s="1" t="n">
        <v>3</v>
      </c>
      <c r="AF39" s="1" t="n">
        <v>0</v>
      </c>
    </row>
    <row r="40" customFormat="false" ht="12.75" hidden="false" customHeight="false" outlineLevel="0" collapsed="false">
      <c r="A40" s="1" t="s">
        <v>48</v>
      </c>
      <c r="B40" s="1" t="n">
        <v>0</v>
      </c>
      <c r="C40" s="1" t="n">
        <v>0.806</v>
      </c>
      <c r="D40" s="1" t="n">
        <v>2.2</v>
      </c>
      <c r="E40" s="57" t="n">
        <f aca="false">5/6</f>
        <v>0.8333333333</v>
      </c>
      <c r="F40" s="1" t="n">
        <v>8</v>
      </c>
      <c r="G40" s="1" t="n">
        <v>69.9</v>
      </c>
      <c r="H40" s="1" t="n">
        <v>18.6</v>
      </c>
      <c r="I40" s="1" t="n">
        <v>65</v>
      </c>
      <c r="J40" s="25" t="n">
        <v>0.5674</v>
      </c>
      <c r="K40" s="1" t="n">
        <v>1</v>
      </c>
      <c r="L40" s="1" t="n">
        <v>0</v>
      </c>
      <c r="M40" s="25" t="n">
        <v>0</v>
      </c>
      <c r="N40" s="1" t="n">
        <v>3</v>
      </c>
      <c r="O40" s="1" t="n">
        <v>18</v>
      </c>
      <c r="P40" s="1" t="n">
        <v>0.767</v>
      </c>
      <c r="Q40" s="1" t="n">
        <v>374</v>
      </c>
      <c r="R40" s="1" t="n">
        <v>24.534</v>
      </c>
      <c r="S40" s="1" t="n">
        <v>10.8</v>
      </c>
      <c r="T40" s="1" t="n">
        <v>966</v>
      </c>
      <c r="U40" s="1" t="n">
        <v>4.8</v>
      </c>
      <c r="V40" s="1" t="n">
        <v>4005</v>
      </c>
      <c r="W40" s="1" t="n">
        <f aca="false">K40*L40</f>
        <v>0</v>
      </c>
      <c r="X40" s="1" t="n">
        <v>0</v>
      </c>
      <c r="Y40" s="1" t="n">
        <v>50.4</v>
      </c>
      <c r="Z40" s="1" t="n">
        <f aca="false">IF(M40+N40=0, 0, M40/(M40+N40))</f>
        <v>0</v>
      </c>
      <c r="AA40" s="1" t="n">
        <f aca="false">M40+N40</f>
        <v>3</v>
      </c>
      <c r="AE40" s="1" t="n">
        <v>3</v>
      </c>
      <c r="AF40" s="1" t="n">
        <v>0</v>
      </c>
    </row>
    <row r="41" customFormat="false" ht="12.75" hidden="false" customHeight="false" outlineLevel="0" collapsed="false">
      <c r="A41" s="1" t="s">
        <v>330</v>
      </c>
      <c r="B41" s="1" t="n">
        <v>0</v>
      </c>
      <c r="C41" s="1" t="n">
        <v>0.853</v>
      </c>
      <c r="D41" s="1" t="n">
        <v>17.3</v>
      </c>
      <c r="E41" s="57" t="n">
        <f aca="false">8/10</f>
        <v>0.8</v>
      </c>
      <c r="F41" s="1" t="n">
        <v>9</v>
      </c>
      <c r="G41" s="1" t="n">
        <v>67.3</v>
      </c>
      <c r="H41" s="1" t="n">
        <v>17.6</v>
      </c>
      <c r="I41" s="1" t="n">
        <v>60.4</v>
      </c>
      <c r="J41" s="25" t="n">
        <v>0.5976</v>
      </c>
      <c r="K41" s="1" t="n">
        <v>1</v>
      </c>
      <c r="L41" s="1" t="n">
        <v>0</v>
      </c>
      <c r="M41" s="25" t="n">
        <v>11</v>
      </c>
      <c r="N41" s="1" t="n">
        <v>4</v>
      </c>
      <c r="O41" s="1" t="n">
        <v>17</v>
      </c>
      <c r="P41" s="1" t="n">
        <v>0.721</v>
      </c>
      <c r="Q41" s="1" t="n">
        <v>391</v>
      </c>
      <c r="R41" s="1" t="n">
        <v>26.628</v>
      </c>
      <c r="S41" s="1" t="n">
        <v>9.4</v>
      </c>
      <c r="T41" s="1" t="n">
        <v>1198</v>
      </c>
      <c r="U41" s="1" t="n">
        <v>7</v>
      </c>
      <c r="V41" s="1" t="n">
        <v>14454</v>
      </c>
      <c r="W41" s="1" t="n">
        <f aca="false">K41*L41</f>
        <v>0</v>
      </c>
      <c r="X41" s="1" t="n">
        <v>0</v>
      </c>
      <c r="Y41" s="1" t="n">
        <v>49.6</v>
      </c>
      <c r="Z41" s="1" t="n">
        <f aca="false">IF(M41+N41=0, 0, M41/(M41+N41))</f>
        <v>0.733333333333333</v>
      </c>
      <c r="AA41" s="1" t="n">
        <f aca="false">M41+N41</f>
        <v>15</v>
      </c>
      <c r="AE41" s="1" t="n">
        <v>7</v>
      </c>
      <c r="AF41" s="1" t="n">
        <v>0</v>
      </c>
    </row>
    <row r="42" customFormat="false" ht="12.75" hidden="false" customHeight="false" outlineLevel="0" collapsed="false">
      <c r="A42" s="1" t="s">
        <v>254</v>
      </c>
      <c r="B42" s="1" t="n">
        <v>0</v>
      </c>
      <c r="C42" s="1" t="n">
        <v>0.706</v>
      </c>
      <c r="D42" s="1" t="n">
        <v>6.4</v>
      </c>
      <c r="E42" s="57" t="n">
        <v>0.692</v>
      </c>
      <c r="F42" s="1" t="n">
        <v>8</v>
      </c>
      <c r="G42" s="1" t="n">
        <v>67.3</v>
      </c>
      <c r="H42" s="1" t="n">
        <v>21.9</v>
      </c>
      <c r="I42" s="1" t="n">
        <v>62.1</v>
      </c>
      <c r="J42" s="25" t="n">
        <v>0.5731</v>
      </c>
      <c r="K42" s="1" t="n">
        <v>0</v>
      </c>
      <c r="L42" s="1" t="n">
        <v>0</v>
      </c>
      <c r="M42" s="25" t="n">
        <v>0</v>
      </c>
      <c r="N42" s="1" t="n">
        <v>3</v>
      </c>
      <c r="O42" s="1" t="n">
        <v>16</v>
      </c>
      <c r="P42" s="1" t="n">
        <v>0.656</v>
      </c>
      <c r="Q42" s="1" t="n">
        <v>490</v>
      </c>
      <c r="R42" s="1" t="n">
        <v>31.925</v>
      </c>
      <c r="S42" s="1" t="n">
        <v>12</v>
      </c>
      <c r="T42" s="1" t="n">
        <v>1278</v>
      </c>
      <c r="U42" s="1" t="n">
        <v>5.2</v>
      </c>
      <c r="V42" s="1" t="n">
        <v>5572</v>
      </c>
      <c r="W42" s="1" t="n">
        <f aca="false">K42*L42</f>
        <v>0</v>
      </c>
      <c r="X42" s="1" t="n">
        <v>0</v>
      </c>
      <c r="Y42" s="1" t="n">
        <v>54.2</v>
      </c>
      <c r="Z42" s="1" t="n">
        <f aca="false">IF(M42+N42=0, 0, M42/(M42+N42))</f>
        <v>0</v>
      </c>
      <c r="AA42" s="1" t="n">
        <f aca="false">M42+N42</f>
        <v>3</v>
      </c>
      <c r="AE42" s="1" t="n">
        <v>3</v>
      </c>
      <c r="AF42" s="1" t="n">
        <v>0</v>
      </c>
    </row>
    <row r="43" customFormat="false" ht="12.75" hidden="false" customHeight="false" outlineLevel="0" collapsed="false">
      <c r="A43" s="1" t="s">
        <v>370</v>
      </c>
      <c r="B43" s="1" t="n">
        <v>1</v>
      </c>
      <c r="C43" s="1" t="n">
        <v>0.706</v>
      </c>
      <c r="D43" s="1" t="n">
        <v>16</v>
      </c>
      <c r="E43" s="57" t="n">
        <v>0.5</v>
      </c>
      <c r="F43" s="1" t="n">
        <v>8</v>
      </c>
      <c r="G43" s="1" t="n">
        <v>76.7</v>
      </c>
      <c r="H43" s="1" t="n">
        <v>17</v>
      </c>
      <c r="I43" s="1" t="n">
        <v>69.1</v>
      </c>
      <c r="J43" s="25" t="n">
        <v>0.5362</v>
      </c>
      <c r="K43" s="1" t="n">
        <v>0</v>
      </c>
      <c r="L43" s="1" t="n">
        <v>1</v>
      </c>
      <c r="M43" s="25" t="n">
        <v>2</v>
      </c>
      <c r="N43" s="1" t="n">
        <v>7</v>
      </c>
      <c r="O43" s="1" t="n">
        <v>15</v>
      </c>
      <c r="P43" s="1" t="n">
        <v>0.671</v>
      </c>
      <c r="Q43" s="1" t="n">
        <v>414</v>
      </c>
      <c r="R43" s="1" t="n">
        <v>35.212</v>
      </c>
      <c r="S43" s="1" t="n">
        <v>13.8</v>
      </c>
      <c r="T43" s="1" t="n">
        <v>1323</v>
      </c>
      <c r="U43" s="1" t="n">
        <v>7.1</v>
      </c>
      <c r="V43" s="1" t="n">
        <v>20159</v>
      </c>
      <c r="W43" s="1" t="n">
        <f aca="false">K43*L43</f>
        <v>0</v>
      </c>
      <c r="X43" s="1" t="n">
        <v>1</v>
      </c>
      <c r="Y43" s="1" t="n">
        <v>55.2</v>
      </c>
      <c r="Z43" s="1" t="n">
        <f aca="false">IF(M43+N43=0, 0, M43/(M43+N43))</f>
        <v>0.222222222222222</v>
      </c>
      <c r="AA43" s="1" t="n">
        <f aca="false">M43+N43</f>
        <v>9</v>
      </c>
      <c r="AE43" s="1" t="n">
        <v>23</v>
      </c>
      <c r="AF43" s="1" t="n">
        <v>7</v>
      </c>
    </row>
    <row r="44" customFormat="false" ht="12.75" hidden="false" customHeight="false" outlineLevel="0" collapsed="false">
      <c r="A44" s="1" t="s">
        <v>371</v>
      </c>
      <c r="B44" s="1" t="n">
        <v>0</v>
      </c>
      <c r="C44" s="1" t="n">
        <v>0.543</v>
      </c>
      <c r="D44" s="1" t="n">
        <v>-4.7</v>
      </c>
      <c r="E44" s="57" t="n">
        <v>0.5</v>
      </c>
      <c r="F44" s="1" t="n">
        <v>6</v>
      </c>
      <c r="G44" s="1" t="n">
        <v>62.1</v>
      </c>
      <c r="H44" s="1" t="n">
        <v>22.5</v>
      </c>
      <c r="I44" s="1" t="n">
        <v>61.1</v>
      </c>
      <c r="J44" s="25" t="n">
        <v>0.4717</v>
      </c>
      <c r="K44" s="1" t="n">
        <v>1</v>
      </c>
      <c r="L44" s="1" t="n">
        <v>0</v>
      </c>
      <c r="M44" s="25" t="n">
        <v>0</v>
      </c>
      <c r="N44" s="1" t="n">
        <v>2</v>
      </c>
      <c r="O44" s="1" t="n">
        <v>19</v>
      </c>
      <c r="P44" s="1" t="n">
        <v>0.658</v>
      </c>
      <c r="Q44" s="1" t="n">
        <v>529</v>
      </c>
      <c r="R44" s="1" t="n">
        <v>30.323</v>
      </c>
      <c r="S44" s="1" t="n">
        <v>10.7</v>
      </c>
      <c r="T44" s="1" t="n">
        <v>1240</v>
      </c>
      <c r="U44" s="1" t="n">
        <v>0.2</v>
      </c>
      <c r="V44" s="1" t="n">
        <v>2262</v>
      </c>
      <c r="W44" s="1" t="n">
        <f aca="false">K44*L44</f>
        <v>0</v>
      </c>
      <c r="X44" s="1" t="n">
        <v>0</v>
      </c>
      <c r="Y44" s="1" t="n">
        <v>46.9</v>
      </c>
      <c r="Z44" s="1" t="n">
        <f aca="false">IF(M44+N44=0, 0, M44/(M44+N44))</f>
        <v>0</v>
      </c>
      <c r="AA44" s="1" t="n">
        <f aca="false">M44+N44</f>
        <v>2</v>
      </c>
      <c r="AE44" s="1" t="n">
        <v>6</v>
      </c>
      <c r="AF44" s="1" t="n">
        <v>0</v>
      </c>
    </row>
    <row r="45" customFormat="false" ht="12.75" hidden="false" customHeight="false" outlineLevel="0" collapsed="false">
      <c r="A45" s="1" t="s">
        <v>332</v>
      </c>
      <c r="B45" s="1" t="n">
        <v>0</v>
      </c>
      <c r="C45" s="1" t="n">
        <v>0.706</v>
      </c>
      <c r="D45" s="1" t="n">
        <v>15.7</v>
      </c>
      <c r="E45" s="57" t="n">
        <v>0.5</v>
      </c>
      <c r="F45" s="1" t="n">
        <v>7</v>
      </c>
      <c r="G45" s="1" t="n">
        <v>77.4</v>
      </c>
      <c r="H45" s="1" t="n">
        <v>17.9</v>
      </c>
      <c r="I45" s="1" t="n">
        <v>70.1</v>
      </c>
      <c r="J45" s="25" t="n">
        <v>0.5312</v>
      </c>
      <c r="K45" s="1" t="n">
        <v>0</v>
      </c>
      <c r="L45" s="1" t="n">
        <v>1</v>
      </c>
      <c r="M45" s="25" t="n">
        <v>2</v>
      </c>
      <c r="N45" s="1" t="n">
        <v>5</v>
      </c>
      <c r="O45" s="1" t="n">
        <v>16</v>
      </c>
      <c r="P45" s="1" t="n">
        <v>0.681</v>
      </c>
      <c r="Q45" s="1" t="n">
        <v>420</v>
      </c>
      <c r="R45" s="1" t="n">
        <v>31.07</v>
      </c>
      <c r="S45" s="1" t="n">
        <v>11.4</v>
      </c>
      <c r="T45" s="1" t="n">
        <v>1252</v>
      </c>
      <c r="U45" s="1" t="n">
        <v>7.5</v>
      </c>
      <c r="V45" s="1" t="n">
        <v>13560</v>
      </c>
      <c r="W45" s="1" t="n">
        <f aca="false">K45*L45</f>
        <v>0</v>
      </c>
      <c r="X45" s="1" t="n">
        <v>1</v>
      </c>
      <c r="Y45" s="1" t="n">
        <v>57.1</v>
      </c>
      <c r="Z45" s="1" t="n">
        <f aca="false">IF(M45+N45=0, 0, M45/(M45+N45))</f>
        <v>0.285714285714286</v>
      </c>
      <c r="AA45" s="1" t="n">
        <f aca="false">M45+N45</f>
        <v>7</v>
      </c>
      <c r="AE45" s="1" t="n">
        <v>9</v>
      </c>
      <c r="AF45" s="1" t="n">
        <v>0</v>
      </c>
    </row>
    <row r="46" customFormat="false" ht="12.75" hidden="false" customHeight="false" outlineLevel="0" collapsed="false">
      <c r="A46" s="1" t="s">
        <v>372</v>
      </c>
      <c r="B46" s="1" t="n">
        <v>0</v>
      </c>
      <c r="C46" s="1" t="n">
        <v>0.742</v>
      </c>
      <c r="D46" s="1" t="n">
        <v>1.8</v>
      </c>
      <c r="E46" s="57" t="n">
        <v>0.75</v>
      </c>
      <c r="F46" s="1" t="n">
        <v>8</v>
      </c>
      <c r="G46" s="1" t="n">
        <v>80</v>
      </c>
      <c r="H46" s="1" t="n">
        <v>18.7</v>
      </c>
      <c r="I46" s="1" t="n">
        <v>71.2</v>
      </c>
      <c r="J46" s="25" t="n">
        <v>0.5691</v>
      </c>
      <c r="K46" s="1" t="n">
        <v>1</v>
      </c>
      <c r="L46" s="1" t="n">
        <v>0</v>
      </c>
      <c r="M46" s="25" t="n">
        <v>0</v>
      </c>
      <c r="N46" s="1" t="n">
        <v>1</v>
      </c>
      <c r="O46" s="1" t="n">
        <v>18</v>
      </c>
      <c r="P46" s="1" t="n">
        <v>0.686</v>
      </c>
      <c r="Q46" s="1" t="n">
        <v>433</v>
      </c>
      <c r="R46" s="1" t="n">
        <v>35.193</v>
      </c>
      <c r="S46" s="1" t="n">
        <v>13.8</v>
      </c>
      <c r="T46" s="1" t="n">
        <v>981</v>
      </c>
      <c r="U46" s="1" t="n">
        <v>5.5</v>
      </c>
      <c r="V46" s="1" t="n">
        <v>5972</v>
      </c>
      <c r="W46" s="1" t="n">
        <f aca="false">K46*L46</f>
        <v>0</v>
      </c>
      <c r="X46" s="1" t="n">
        <v>0</v>
      </c>
      <c r="Y46" s="1" t="n">
        <v>55.6</v>
      </c>
      <c r="Z46" s="1" t="n">
        <f aca="false">IF(M46+N46=0, 0, M46/(M46+N46))</f>
        <v>0</v>
      </c>
      <c r="AA46" s="1" t="n">
        <f aca="false">M46+N46</f>
        <v>1</v>
      </c>
      <c r="AE46" s="1" t="n">
        <v>3</v>
      </c>
      <c r="AF46" s="1" t="n">
        <v>0</v>
      </c>
    </row>
    <row r="47" customFormat="false" ht="12.75" hidden="false" customHeight="false" outlineLevel="0" collapsed="false">
      <c r="A47" s="1" t="s">
        <v>121</v>
      </c>
      <c r="B47" s="1" t="n">
        <v>0</v>
      </c>
      <c r="C47" s="1" t="n">
        <v>0.735</v>
      </c>
      <c r="D47" s="1" t="n">
        <v>15.1</v>
      </c>
      <c r="E47" s="57" t="n">
        <v>0.8</v>
      </c>
      <c r="F47" s="1" t="n">
        <v>6</v>
      </c>
      <c r="G47" s="1" t="n">
        <v>70</v>
      </c>
      <c r="H47" s="1" t="n">
        <v>17.4</v>
      </c>
      <c r="I47" s="1" t="n">
        <v>63.1</v>
      </c>
      <c r="J47" s="25" t="n">
        <v>0.4648</v>
      </c>
      <c r="K47" s="1" t="n">
        <v>0</v>
      </c>
      <c r="L47" s="1" t="n">
        <v>1</v>
      </c>
      <c r="M47" s="25" t="n">
        <v>8</v>
      </c>
      <c r="N47" s="1" t="n">
        <v>5</v>
      </c>
      <c r="O47" s="1" t="n">
        <v>19</v>
      </c>
      <c r="P47" s="1" t="n">
        <v>0.709</v>
      </c>
      <c r="Q47" s="1" t="n">
        <v>376</v>
      </c>
      <c r="R47" s="1" t="n">
        <v>30.682</v>
      </c>
      <c r="S47" s="1" t="n">
        <v>11.1</v>
      </c>
      <c r="T47" s="1" t="n">
        <v>1232</v>
      </c>
      <c r="U47" s="1" t="n">
        <v>7.2</v>
      </c>
      <c r="V47" s="1" t="n">
        <v>7999</v>
      </c>
      <c r="W47" s="1" t="n">
        <f aca="false">K47*L47</f>
        <v>0</v>
      </c>
      <c r="X47" s="1" t="n">
        <v>1</v>
      </c>
      <c r="Y47" s="1" t="n">
        <v>55.4</v>
      </c>
      <c r="Z47" s="1" t="n">
        <f aca="false">IF(M47+N47=0, 0, M47/(M47+N47))</f>
        <v>0.615384615384615</v>
      </c>
      <c r="AA47" s="1" t="n">
        <f aca="false">M47+N47</f>
        <v>13</v>
      </c>
      <c r="AE47" s="1" t="n">
        <v>11</v>
      </c>
      <c r="AF47" s="1" t="n">
        <v>0</v>
      </c>
    </row>
    <row r="48" customFormat="false" ht="12.75" hidden="false" customHeight="false" outlineLevel="0" collapsed="false">
      <c r="A48" s="1" t="s">
        <v>41</v>
      </c>
      <c r="B48" s="1" t="n">
        <v>3</v>
      </c>
      <c r="C48" s="1" t="n">
        <v>0.788</v>
      </c>
      <c r="D48" s="1" t="n">
        <v>23.2</v>
      </c>
      <c r="E48" s="57" t="n">
        <f aca="false">1/4</f>
        <v>0.25</v>
      </c>
      <c r="F48" s="1" t="n">
        <v>9</v>
      </c>
      <c r="G48" s="1" t="n">
        <v>70.2</v>
      </c>
      <c r="H48" s="1" t="n">
        <v>16.6</v>
      </c>
      <c r="I48" s="1" t="n">
        <v>57.9</v>
      </c>
      <c r="J48" s="25" t="n">
        <v>0.5141</v>
      </c>
      <c r="K48" s="1" t="n">
        <v>1</v>
      </c>
      <c r="L48" s="1" t="n">
        <v>1</v>
      </c>
      <c r="M48" s="25" t="n">
        <v>9</v>
      </c>
      <c r="N48" s="1" t="n">
        <v>7</v>
      </c>
      <c r="O48" s="1" t="n">
        <v>17</v>
      </c>
      <c r="P48" s="1" t="n">
        <v>0.707</v>
      </c>
      <c r="Q48" s="1" t="n">
        <v>350</v>
      </c>
      <c r="R48" s="1" t="n">
        <v>30.035</v>
      </c>
      <c r="S48" s="1" t="n">
        <v>10.6</v>
      </c>
      <c r="T48" s="1" t="n">
        <v>1171</v>
      </c>
      <c r="U48" s="1" t="n">
        <v>11.4</v>
      </c>
      <c r="V48" s="1" t="n">
        <v>16511</v>
      </c>
      <c r="W48" s="1" t="n">
        <f aca="false">K48*L48</f>
        <v>1</v>
      </c>
      <c r="X48" s="1" t="n">
        <v>0</v>
      </c>
      <c r="Y48" s="1" t="n">
        <v>54.3</v>
      </c>
      <c r="Z48" s="1" t="n">
        <f aca="false">IF(M48+N48=0, 0, M48/(M48+N48))</f>
        <v>0.5625</v>
      </c>
      <c r="AA48" s="1" t="n">
        <f aca="false">M48+N48</f>
        <v>16</v>
      </c>
      <c r="AE48" s="1" t="n">
        <v>11</v>
      </c>
      <c r="AF48" s="1" t="n">
        <v>2</v>
      </c>
    </row>
    <row r="49" customFormat="false" ht="12.75" hidden="false" customHeight="false" outlineLevel="0" collapsed="false">
      <c r="A49" s="1" t="s">
        <v>373</v>
      </c>
      <c r="B49" s="1" t="n">
        <v>0</v>
      </c>
      <c r="C49" s="1" t="n">
        <v>0.645</v>
      </c>
      <c r="D49" s="1" t="n">
        <v>12.5</v>
      </c>
      <c r="E49" s="57" t="n">
        <v>0.5</v>
      </c>
      <c r="F49" s="1" t="n">
        <v>6</v>
      </c>
      <c r="G49" s="1" t="n">
        <v>70.6</v>
      </c>
      <c r="H49" s="1" t="n">
        <v>17.6</v>
      </c>
      <c r="I49" s="1" t="n">
        <v>66.2</v>
      </c>
      <c r="J49" s="25" t="n">
        <v>0.559</v>
      </c>
      <c r="K49" s="1" t="n">
        <v>0</v>
      </c>
      <c r="L49" s="1" t="n">
        <v>1</v>
      </c>
      <c r="M49" s="25" t="n">
        <v>2</v>
      </c>
      <c r="N49" s="1" t="n">
        <v>7</v>
      </c>
      <c r="O49" s="1" t="n">
        <v>16</v>
      </c>
      <c r="P49" s="1" t="n">
        <v>0.757</v>
      </c>
      <c r="Q49" s="1" t="n">
        <v>367</v>
      </c>
      <c r="R49" s="1" t="n">
        <v>32.397</v>
      </c>
      <c r="S49" s="1" t="n">
        <v>11.9</v>
      </c>
      <c r="T49" s="1" t="n">
        <v>1139</v>
      </c>
      <c r="U49" s="1" t="n">
        <v>4.9</v>
      </c>
      <c r="V49" s="1" t="n">
        <v>8525</v>
      </c>
      <c r="W49" s="1" t="n">
        <f aca="false">K49*L49</f>
        <v>0</v>
      </c>
      <c r="X49" s="1" t="n">
        <v>0</v>
      </c>
      <c r="Y49" s="1" t="n">
        <v>53.3</v>
      </c>
      <c r="Z49" s="1" t="n">
        <f aca="false">IF(M49+N49=0, 0, M49/(M49+N49))</f>
        <v>0.222222222222222</v>
      </c>
      <c r="AA49" s="1" t="n">
        <f aca="false">M49+N49</f>
        <v>9</v>
      </c>
      <c r="AE49" s="1" t="n">
        <v>14</v>
      </c>
      <c r="AF49" s="1" t="n">
        <v>1</v>
      </c>
    </row>
    <row r="50" customFormat="false" ht="12.75" hidden="false" customHeight="false" outlineLevel="0" collapsed="false">
      <c r="A50" s="1" t="s">
        <v>258</v>
      </c>
      <c r="B50" s="1" t="n">
        <v>0</v>
      </c>
      <c r="C50" s="1" t="n">
        <v>0.75</v>
      </c>
      <c r="D50" s="1" t="n">
        <v>16.5</v>
      </c>
      <c r="E50" s="57" t="n">
        <f aca="false">5/7</f>
        <v>0.7142857143</v>
      </c>
      <c r="F50" s="1" t="n">
        <v>7</v>
      </c>
      <c r="G50" s="1" t="n">
        <v>71.8</v>
      </c>
      <c r="H50" s="1" t="n">
        <v>18.1</v>
      </c>
      <c r="I50" s="1" t="n">
        <v>62.8</v>
      </c>
      <c r="J50" s="25" t="n">
        <v>0.5241</v>
      </c>
      <c r="K50" s="1" t="n">
        <v>0</v>
      </c>
      <c r="L50" s="1" t="n">
        <v>1</v>
      </c>
      <c r="M50" s="25" t="n">
        <v>6</v>
      </c>
      <c r="N50" s="1" t="n">
        <v>5</v>
      </c>
      <c r="O50" s="58" t="n">
        <v>10</v>
      </c>
      <c r="P50" s="1" t="n">
        <v>0.746</v>
      </c>
      <c r="Q50" s="1" t="n">
        <v>397</v>
      </c>
      <c r="R50" s="1" t="n">
        <v>29.871</v>
      </c>
      <c r="S50" s="1" t="n">
        <v>10.9</v>
      </c>
      <c r="T50" s="1" t="n">
        <v>1165</v>
      </c>
      <c r="U50" s="1" t="n">
        <v>9.5</v>
      </c>
      <c r="V50" s="1" t="n">
        <v>9239</v>
      </c>
      <c r="W50" s="1" t="n">
        <f aca="false">K50*L50</f>
        <v>0</v>
      </c>
      <c r="X50" s="1" t="n">
        <v>0</v>
      </c>
      <c r="Y50" s="1" t="n">
        <v>51.9</v>
      </c>
      <c r="Z50" s="1" t="n">
        <f aca="false">IF(M50+N50=0, 0, M50/(M50+N50))</f>
        <v>0.545454545454545</v>
      </c>
      <c r="AA50" s="1" t="n">
        <f aca="false">M50+N50</f>
        <v>11</v>
      </c>
      <c r="AE50" s="1" t="n">
        <v>4</v>
      </c>
      <c r="AF50" s="1" t="n">
        <v>0</v>
      </c>
    </row>
    <row r="51" customFormat="false" ht="12.75" hidden="false" customHeight="false" outlineLevel="0" collapsed="false">
      <c r="A51" s="1" t="s">
        <v>374</v>
      </c>
      <c r="B51" s="1" t="n">
        <v>1</v>
      </c>
      <c r="C51" s="1" t="n">
        <v>0.765</v>
      </c>
      <c r="D51" s="1" t="n">
        <v>15</v>
      </c>
      <c r="E51" s="57" t="n">
        <f aca="false">4/7</f>
        <v>0.571428571428571</v>
      </c>
      <c r="F51" s="1" t="n">
        <v>8</v>
      </c>
      <c r="G51" s="1" t="n">
        <v>77.2</v>
      </c>
      <c r="H51" s="1" t="n">
        <v>15.8</v>
      </c>
      <c r="I51" s="1" t="n">
        <v>67.3</v>
      </c>
      <c r="J51" s="25" t="n">
        <v>0.46</v>
      </c>
      <c r="K51" s="1" t="n">
        <v>1</v>
      </c>
      <c r="L51" s="1" t="n">
        <v>1</v>
      </c>
      <c r="M51" s="25" t="n">
        <v>1</v>
      </c>
      <c r="N51" s="1" t="n">
        <v>3</v>
      </c>
      <c r="O51" s="58" t="n">
        <v>19</v>
      </c>
      <c r="P51" s="1" t="n">
        <v>0.678</v>
      </c>
      <c r="Q51" s="1" t="n">
        <v>386</v>
      </c>
      <c r="R51" s="1" t="n">
        <v>34.063</v>
      </c>
      <c r="S51" s="1" t="n">
        <v>13.2</v>
      </c>
      <c r="T51" s="1" t="n">
        <v>1317</v>
      </c>
      <c r="U51" s="1" t="n">
        <v>10.6</v>
      </c>
      <c r="V51" s="1" t="n">
        <v>5770</v>
      </c>
      <c r="W51" s="1" t="n">
        <f aca="false">K51*L51</f>
        <v>1</v>
      </c>
      <c r="X51" s="1" t="n">
        <v>0</v>
      </c>
      <c r="Y51" s="1" t="n">
        <v>54.9</v>
      </c>
      <c r="Z51" s="1" t="n">
        <f aca="false">IF(M51+N51=0, 0, M51/(M51+N51))</f>
        <v>0.25</v>
      </c>
      <c r="AA51" s="1" t="n">
        <f aca="false">M51+N51</f>
        <v>4</v>
      </c>
      <c r="AE51" s="1" t="n">
        <v>1</v>
      </c>
      <c r="AF51" s="1" t="n">
        <v>0</v>
      </c>
    </row>
    <row r="52" customFormat="false" ht="12.75" hidden="false" customHeight="false" outlineLevel="0" collapsed="false">
      <c r="A52" s="1" t="s">
        <v>123</v>
      </c>
      <c r="B52" s="1" t="n">
        <v>2</v>
      </c>
      <c r="C52" s="1" t="n">
        <v>0.765</v>
      </c>
      <c r="D52" s="1" t="n">
        <v>6.3</v>
      </c>
      <c r="E52" s="57" t="n">
        <f aca="false">4/7</f>
        <v>0.571428571428571</v>
      </c>
      <c r="F52" s="1" t="n">
        <v>7</v>
      </c>
      <c r="G52" s="1" t="n">
        <v>71.6</v>
      </c>
      <c r="H52" s="1" t="n">
        <v>21.3</v>
      </c>
      <c r="I52" s="1" t="n">
        <v>63.6</v>
      </c>
      <c r="J52" s="25" t="n">
        <v>0.4739</v>
      </c>
      <c r="K52" s="1" t="n">
        <v>0</v>
      </c>
      <c r="L52" s="1" t="n">
        <v>1</v>
      </c>
      <c r="M52" s="25" t="n">
        <v>4</v>
      </c>
      <c r="N52" s="1" t="n">
        <v>5</v>
      </c>
      <c r="O52" s="58" t="n">
        <v>20</v>
      </c>
      <c r="P52" s="1" t="n">
        <v>0.705</v>
      </c>
      <c r="Q52" s="1" t="n">
        <v>507</v>
      </c>
      <c r="R52" s="1" t="n">
        <v>32.704</v>
      </c>
      <c r="S52" s="1" t="n">
        <v>12.2</v>
      </c>
      <c r="T52" s="1" t="n">
        <v>1272</v>
      </c>
      <c r="U52" s="1" t="n">
        <v>8.1</v>
      </c>
      <c r="V52" s="1" t="n">
        <v>7630</v>
      </c>
      <c r="W52" s="1" t="n">
        <f aca="false">K52*L52</f>
        <v>0</v>
      </c>
      <c r="X52" s="1" t="n">
        <v>0</v>
      </c>
      <c r="Y52" s="1" t="n">
        <v>52.5</v>
      </c>
      <c r="Z52" s="1" t="n">
        <f aca="false">IF(M52+N52=0, 0, M52/(M52+N52))</f>
        <v>0.444444444444444</v>
      </c>
      <c r="AA52" s="1" t="n">
        <f aca="false">M52+N52</f>
        <v>9</v>
      </c>
      <c r="AE52" s="1" t="n">
        <v>9</v>
      </c>
      <c r="AF52" s="1" t="n">
        <v>0</v>
      </c>
    </row>
    <row r="53" customFormat="false" ht="12.75" hidden="false" customHeight="false" outlineLevel="0" collapsed="false">
      <c r="A53" s="1" t="s">
        <v>375</v>
      </c>
      <c r="B53" s="1" t="n">
        <v>0</v>
      </c>
      <c r="C53" s="1" t="n">
        <v>0.647</v>
      </c>
      <c r="D53" s="1" t="n">
        <v>2.9</v>
      </c>
      <c r="E53" s="57" t="n">
        <v>0</v>
      </c>
      <c r="F53" s="1" t="n">
        <v>8</v>
      </c>
      <c r="G53" s="1" t="n">
        <v>67</v>
      </c>
      <c r="H53" s="1" t="n">
        <v>17.4</v>
      </c>
      <c r="I53" s="1" t="n">
        <v>63.5</v>
      </c>
      <c r="J53" s="25" t="n">
        <v>0.586</v>
      </c>
      <c r="K53" s="1" t="n">
        <v>1</v>
      </c>
      <c r="L53" s="1" t="n">
        <v>0</v>
      </c>
      <c r="M53" s="1" t="n">
        <v>4</v>
      </c>
      <c r="N53" s="1" t="n">
        <v>3</v>
      </c>
      <c r="O53" s="58" t="n">
        <v>22</v>
      </c>
      <c r="P53" s="1" t="n">
        <v>0.689</v>
      </c>
      <c r="Q53" s="1" t="n">
        <v>376</v>
      </c>
      <c r="R53" s="1" t="n">
        <v>29.39</v>
      </c>
      <c r="S53" s="1" t="n">
        <v>9.5</v>
      </c>
      <c r="T53" s="1" t="n">
        <v>1099</v>
      </c>
      <c r="U53" s="1" t="n">
        <v>1.8</v>
      </c>
      <c r="V53" s="1" t="n">
        <v>2091</v>
      </c>
      <c r="W53" s="1" t="n">
        <f aca="false">K53*L53</f>
        <v>0</v>
      </c>
      <c r="X53" s="1" t="n">
        <v>0</v>
      </c>
      <c r="Y53" s="1" t="n">
        <v>52.2</v>
      </c>
      <c r="Z53" s="1" t="n">
        <f aca="false">IF(M53+N53=0, 0, M53/(M53+N53))</f>
        <v>0.571428571428571</v>
      </c>
      <c r="AA53" s="1" t="n">
        <f aca="false">M53+N53</f>
        <v>7</v>
      </c>
      <c r="AE53" s="1" t="n">
        <v>5</v>
      </c>
      <c r="AF53" s="1" t="n">
        <v>0</v>
      </c>
    </row>
    <row r="54" customFormat="false" ht="12.75" hidden="false" customHeight="false" outlineLevel="0" collapsed="false">
      <c r="A54" s="1" t="s">
        <v>197</v>
      </c>
      <c r="B54" s="1" t="n">
        <v>0</v>
      </c>
      <c r="C54" s="1" t="n">
        <v>0.75</v>
      </c>
      <c r="D54" s="1" t="n">
        <v>20.9</v>
      </c>
      <c r="E54" s="57" t="n">
        <v>0</v>
      </c>
      <c r="F54" s="1" t="n">
        <v>7</v>
      </c>
      <c r="G54" s="1" t="n">
        <v>69.2</v>
      </c>
      <c r="H54" s="1" t="n">
        <v>17.9</v>
      </c>
      <c r="I54" s="1" t="n">
        <v>55.4</v>
      </c>
      <c r="J54" s="25" t="n">
        <v>0.4617</v>
      </c>
      <c r="K54" s="1" t="n">
        <v>0</v>
      </c>
      <c r="L54" s="1" t="n">
        <v>1</v>
      </c>
      <c r="M54" s="1" t="n">
        <v>4</v>
      </c>
      <c r="N54" s="1" t="n">
        <v>5</v>
      </c>
      <c r="O54" s="58" t="n">
        <v>15</v>
      </c>
      <c r="P54" s="1" t="n">
        <v>0.668</v>
      </c>
      <c r="Q54" s="1" t="n">
        <v>349</v>
      </c>
      <c r="R54" s="1" t="n">
        <v>36.605</v>
      </c>
      <c r="S54" s="1" t="n">
        <v>12.9</v>
      </c>
      <c r="T54" s="1" t="n">
        <v>1131</v>
      </c>
      <c r="U54" s="1" t="n">
        <v>14.2</v>
      </c>
      <c r="V54" s="1" t="n">
        <v>8801</v>
      </c>
      <c r="W54" s="1" t="n">
        <f aca="false">K54*L54</f>
        <v>0</v>
      </c>
      <c r="X54" s="1" t="n">
        <v>1</v>
      </c>
      <c r="Y54" s="1" t="n">
        <v>59.5</v>
      </c>
      <c r="Z54" s="1" t="n">
        <f aca="false">IF(M54+N54=0, 0, M54/(M54+N54))</f>
        <v>0.444444444444444</v>
      </c>
      <c r="AA54" s="1" t="n">
        <f aca="false">M54+N54</f>
        <v>9</v>
      </c>
      <c r="AE54" s="1" t="n">
        <v>9</v>
      </c>
      <c r="AF54" s="1" t="n">
        <v>0</v>
      </c>
    </row>
    <row r="55" customFormat="false" ht="12.75" hidden="false" customHeight="false" outlineLevel="0" collapsed="false">
      <c r="A55" s="1" t="s">
        <v>333</v>
      </c>
      <c r="B55" s="1" t="n">
        <v>1</v>
      </c>
      <c r="C55" s="1" t="n">
        <v>0.818</v>
      </c>
      <c r="D55" s="1" t="n">
        <v>17.8</v>
      </c>
      <c r="E55" s="57" t="n">
        <f aca="false">6 / 7</f>
        <v>0.8571428571</v>
      </c>
      <c r="F55" s="1" t="n">
        <v>9</v>
      </c>
      <c r="G55" s="1" t="n">
        <v>68.2</v>
      </c>
      <c r="H55" s="1" t="n">
        <v>17.6</v>
      </c>
      <c r="I55" s="1" t="n">
        <v>58.1</v>
      </c>
      <c r="J55" s="25" t="n">
        <v>0.5213</v>
      </c>
      <c r="K55" s="1" t="n">
        <v>1</v>
      </c>
      <c r="L55" s="1" t="n">
        <v>0</v>
      </c>
      <c r="M55" s="1" t="n">
        <v>8</v>
      </c>
      <c r="N55" s="1" t="n">
        <v>2</v>
      </c>
      <c r="O55" s="58" t="n">
        <v>20</v>
      </c>
      <c r="P55" s="1" t="n">
        <v>0.707</v>
      </c>
      <c r="Q55" s="1" t="n">
        <v>378</v>
      </c>
      <c r="R55" s="1" t="n">
        <v>27.593</v>
      </c>
      <c r="S55" s="1" t="n">
        <v>9.1</v>
      </c>
      <c r="T55" s="1" t="n">
        <v>1084</v>
      </c>
      <c r="U55" s="1" t="n">
        <v>10.6</v>
      </c>
      <c r="V55" s="1" t="n">
        <v>7757</v>
      </c>
      <c r="W55" s="1" t="n">
        <f aca="false">K55*L55</f>
        <v>0</v>
      </c>
      <c r="X55" s="1" t="n">
        <v>0</v>
      </c>
      <c r="Y55" s="1" t="n">
        <v>50.9</v>
      </c>
      <c r="Z55" s="1" t="n">
        <f aca="false">IF(M55+N55=0, 0, M55/(M55+N55))</f>
        <v>0.8</v>
      </c>
      <c r="AA55" s="1" t="n">
        <f aca="false">M55+N55</f>
        <v>10</v>
      </c>
      <c r="AE55" s="1" t="n">
        <v>5</v>
      </c>
      <c r="AF55" s="1" t="n">
        <v>0</v>
      </c>
    </row>
    <row r="56" customFormat="false" ht="1.5" hidden="false" customHeight="true" outlineLevel="0" collapsed="false">
      <c r="A56" s="1" t="s">
        <v>376</v>
      </c>
      <c r="B56" s="1" t="n">
        <v>0</v>
      </c>
      <c r="C56" s="1" t="n">
        <v>0.818</v>
      </c>
      <c r="D56" s="1" t="n">
        <v>17.3</v>
      </c>
      <c r="E56" s="57" t="n">
        <f aca="false">3/4</f>
        <v>0.75</v>
      </c>
      <c r="F56" s="1" t="n">
        <v>8</v>
      </c>
      <c r="G56" s="1" t="n">
        <v>74.6</v>
      </c>
      <c r="H56" s="1" t="n">
        <v>18.5</v>
      </c>
      <c r="I56" s="1" t="n">
        <v>65.8</v>
      </c>
      <c r="J56" s="25" t="n">
        <v>0.5199</v>
      </c>
      <c r="K56" s="1" t="n">
        <v>0</v>
      </c>
      <c r="L56" s="1" t="n">
        <v>0</v>
      </c>
      <c r="M56" s="1" t="n">
        <v>2</v>
      </c>
      <c r="N56" s="1" t="n">
        <v>5</v>
      </c>
      <c r="O56" s="58" t="n">
        <v>19</v>
      </c>
      <c r="P56" s="1" t="n">
        <v>0.725</v>
      </c>
      <c r="Q56" s="1" t="n">
        <v>396</v>
      </c>
      <c r="R56" s="1" t="n">
        <v>32.625</v>
      </c>
      <c r="S56" s="1" t="n">
        <v>12.1</v>
      </c>
      <c r="T56" s="1" t="n">
        <v>1223</v>
      </c>
      <c r="U56" s="1" t="n">
        <v>11.6</v>
      </c>
      <c r="V56" s="1" t="n">
        <v>2840</v>
      </c>
      <c r="W56" s="1" t="n">
        <f aca="false">K56*L56</f>
        <v>0</v>
      </c>
      <c r="X56" s="1" t="n">
        <v>0</v>
      </c>
      <c r="Y56" s="1" t="n">
        <v>56.9</v>
      </c>
      <c r="Z56" s="1" t="n">
        <f aca="false">IF(M56+N56=0, 0, M56/(M56+N56))</f>
        <v>0.285714285714286</v>
      </c>
      <c r="AA56" s="1" t="n">
        <f aca="false">M56+N56</f>
        <v>7</v>
      </c>
      <c r="AE56" s="1" t="n">
        <v>5</v>
      </c>
      <c r="AF56" s="1" t="n">
        <v>0</v>
      </c>
    </row>
    <row r="57" customFormat="false" ht="12.75" hidden="false" customHeight="false" outlineLevel="0" collapsed="false">
      <c r="A57" s="1" t="s">
        <v>260</v>
      </c>
      <c r="B57" s="1" t="n">
        <v>1</v>
      </c>
      <c r="C57" s="1" t="n">
        <v>0.688</v>
      </c>
      <c r="D57" s="1" t="n">
        <v>14.4</v>
      </c>
      <c r="E57" s="57" t="n">
        <v>0.333</v>
      </c>
      <c r="F57" s="1" t="n">
        <v>5</v>
      </c>
      <c r="G57" s="1" t="n">
        <v>69.3</v>
      </c>
      <c r="H57" s="1" t="n">
        <v>17.9</v>
      </c>
      <c r="I57" s="1" t="n">
        <v>60.7</v>
      </c>
      <c r="J57" s="25" t="n">
        <v>0.5303</v>
      </c>
      <c r="K57" s="1" t="n">
        <v>0</v>
      </c>
      <c r="L57" s="1" t="n">
        <v>0</v>
      </c>
      <c r="M57" s="1" t="n">
        <v>5</v>
      </c>
      <c r="N57" s="1" t="n">
        <v>8</v>
      </c>
      <c r="O57" s="58" t="n">
        <v>20</v>
      </c>
      <c r="P57" s="1" t="n">
        <v>0.676</v>
      </c>
      <c r="Q57" s="1" t="n">
        <v>382</v>
      </c>
      <c r="R57" s="1" t="n">
        <v>27.35</v>
      </c>
      <c r="S57" s="1" t="n">
        <v>11</v>
      </c>
      <c r="T57" s="1" t="n">
        <v>1179</v>
      </c>
      <c r="U57" s="1" t="n">
        <v>7.1</v>
      </c>
      <c r="V57" s="1" t="n">
        <v>12096</v>
      </c>
      <c r="W57" s="1" t="n">
        <f aca="false">K57*L57</f>
        <v>0</v>
      </c>
      <c r="X57" s="1" t="n">
        <v>0</v>
      </c>
      <c r="Y57" s="1" t="n">
        <v>52.2</v>
      </c>
      <c r="Z57" s="1" t="n">
        <f aca="false">IF(M57+N57=0, 0, M57/(M57+N57))</f>
        <v>0.384615384615385</v>
      </c>
      <c r="AA57" s="1" t="n">
        <f aca="false">M57+N57</f>
        <v>13</v>
      </c>
      <c r="AE57" s="1" t="n">
        <v>13</v>
      </c>
      <c r="AF57" s="1" t="n">
        <v>3</v>
      </c>
    </row>
    <row r="58" customFormat="false" ht="12.75" hidden="false" customHeight="false" outlineLevel="0" collapsed="false">
      <c r="A58" s="1" t="s">
        <v>198</v>
      </c>
      <c r="B58" s="1" t="n">
        <v>0</v>
      </c>
      <c r="C58" s="1" t="n">
        <v>0.735</v>
      </c>
      <c r="D58" s="1" t="n">
        <v>6</v>
      </c>
      <c r="E58" s="57" t="n">
        <v>0.455</v>
      </c>
      <c r="F58" s="1" t="n">
        <v>7</v>
      </c>
      <c r="G58" s="1" t="n">
        <v>73.4</v>
      </c>
      <c r="H58" s="1" t="n">
        <v>16</v>
      </c>
      <c r="I58" s="1" t="n">
        <v>73.6</v>
      </c>
      <c r="J58" s="25" t="n">
        <v>0.5459</v>
      </c>
      <c r="K58" s="1" t="n">
        <v>1</v>
      </c>
      <c r="L58" s="1" t="n">
        <v>0</v>
      </c>
      <c r="M58" s="1" t="n">
        <v>2</v>
      </c>
      <c r="N58" s="1" t="n">
        <v>1</v>
      </c>
      <c r="O58" s="1" t="n">
        <v>20</v>
      </c>
      <c r="P58" s="1" t="n">
        <v>0.762</v>
      </c>
      <c r="Q58" s="1" t="n">
        <v>353</v>
      </c>
      <c r="R58" s="1" t="n">
        <v>29.771</v>
      </c>
      <c r="S58" s="1" t="n">
        <v>9.5</v>
      </c>
      <c r="T58" s="1" t="n">
        <v>1012</v>
      </c>
      <c r="U58" s="1" t="n">
        <v>6.3</v>
      </c>
      <c r="V58" s="1" t="n">
        <v>3320</v>
      </c>
      <c r="W58" s="1" t="n">
        <f aca="false">K58*L58</f>
        <v>0</v>
      </c>
      <c r="X58" s="1" t="n">
        <v>0</v>
      </c>
      <c r="Y58" s="1" t="n">
        <v>54</v>
      </c>
      <c r="Z58" s="1" t="n">
        <f aca="false">IF(M58+N58=0, 0, M58/(M58+N58))</f>
        <v>0.666666666666667</v>
      </c>
      <c r="AA58" s="1" t="n">
        <f aca="false">M58+N58</f>
        <v>3</v>
      </c>
      <c r="AE58" s="1" t="n">
        <v>2</v>
      </c>
      <c r="AF58" s="1" t="n">
        <v>0</v>
      </c>
    </row>
    <row r="59" customFormat="false" ht="12.75" hidden="false" customHeight="false" outlineLevel="0" collapsed="false">
      <c r="A59" s="1" t="s">
        <v>377</v>
      </c>
      <c r="B59" s="1" t="n">
        <v>0</v>
      </c>
      <c r="C59" s="1" t="n">
        <v>0.719</v>
      </c>
      <c r="D59" s="1" t="n">
        <v>-0.5</v>
      </c>
      <c r="E59" s="57" t="n">
        <v>0.545</v>
      </c>
      <c r="F59" s="1" t="n">
        <v>8</v>
      </c>
      <c r="G59" s="1" t="n">
        <v>67.4</v>
      </c>
      <c r="H59" s="1" t="n">
        <v>16.6</v>
      </c>
      <c r="I59" s="1" t="n">
        <v>57.1</v>
      </c>
      <c r="J59" s="25" t="n">
        <v>0.4856</v>
      </c>
      <c r="K59" s="1" t="n">
        <v>1</v>
      </c>
      <c r="L59" s="1" t="n">
        <v>0</v>
      </c>
      <c r="M59" s="1" t="n">
        <v>0</v>
      </c>
      <c r="N59" s="1" t="n">
        <v>1</v>
      </c>
      <c r="O59" s="1" t="n">
        <v>18</v>
      </c>
      <c r="P59" s="1" t="n">
        <v>0.689</v>
      </c>
      <c r="Q59" s="1" t="n">
        <v>349</v>
      </c>
      <c r="R59" s="1" t="n">
        <v>25.311</v>
      </c>
      <c r="S59" s="1" t="n">
        <v>8.9</v>
      </c>
      <c r="T59" s="1" t="n">
        <v>1126</v>
      </c>
      <c r="U59" s="1" t="n">
        <v>8.2</v>
      </c>
      <c r="V59" s="1" t="n">
        <v>1334</v>
      </c>
      <c r="W59" s="1" t="n">
        <f aca="false">K59*L59</f>
        <v>0</v>
      </c>
      <c r="X59" s="1" t="n">
        <v>0</v>
      </c>
      <c r="Y59" s="1" t="n">
        <v>49.7</v>
      </c>
      <c r="Z59" s="1" t="n">
        <f aca="false">IF(M59+N59=0, 0, M59/(M59+N59))</f>
        <v>0</v>
      </c>
      <c r="AA59" s="1" t="n">
        <f aca="false">M59+N59</f>
        <v>1</v>
      </c>
      <c r="AE59" s="1" t="n">
        <v>1</v>
      </c>
      <c r="AF59" s="1" t="n">
        <v>0</v>
      </c>
    </row>
    <row r="60" customFormat="false" ht="12.75" hidden="false" customHeight="false" outlineLevel="0" collapsed="false">
      <c r="A60" s="1" t="s">
        <v>81</v>
      </c>
      <c r="B60" s="1" t="n">
        <v>4</v>
      </c>
      <c r="C60" s="1" t="n">
        <v>0.743</v>
      </c>
      <c r="D60" s="1" t="n">
        <v>21.6</v>
      </c>
      <c r="E60" s="57" t="n">
        <v>0.5</v>
      </c>
      <c r="F60" s="1" t="n">
        <v>5</v>
      </c>
      <c r="G60" s="1" t="n">
        <v>70.4</v>
      </c>
      <c r="H60" s="1" t="n">
        <v>19.1</v>
      </c>
      <c r="I60" s="1" t="n">
        <v>60.1</v>
      </c>
      <c r="J60" s="25" t="n">
        <v>0.5235</v>
      </c>
      <c r="K60" s="1" t="n">
        <v>0</v>
      </c>
      <c r="L60" s="1" t="n">
        <v>1</v>
      </c>
      <c r="M60" s="1" t="n">
        <v>7</v>
      </c>
      <c r="N60" s="1" t="n">
        <v>8</v>
      </c>
      <c r="O60" s="1" t="n">
        <v>18</v>
      </c>
      <c r="P60" s="1" t="n">
        <v>0.675</v>
      </c>
      <c r="Q60" s="1" t="n">
        <v>442</v>
      </c>
      <c r="R60" s="1" t="n">
        <v>37.537</v>
      </c>
      <c r="S60" s="1" t="n">
        <v>14.5</v>
      </c>
      <c r="T60" s="1" t="n">
        <v>1356</v>
      </c>
      <c r="U60" s="1" t="n">
        <v>11.3</v>
      </c>
      <c r="V60" s="1" t="n">
        <v>23618</v>
      </c>
      <c r="W60" s="1" t="n">
        <f aca="false">K60*L60</f>
        <v>0</v>
      </c>
      <c r="X60" s="1" t="n">
        <v>0</v>
      </c>
      <c r="Y60" s="1" t="n">
        <v>56.7</v>
      </c>
      <c r="Z60" s="1" t="n">
        <f aca="false">IF(M60+N60=0, 0, M60/(M60+N60))</f>
        <v>0.466666666666667</v>
      </c>
      <c r="AA60" s="1" t="n">
        <f aca="false">M60+N60</f>
        <v>15</v>
      </c>
      <c r="AE60" s="1" t="n">
        <v>30</v>
      </c>
      <c r="AF60" s="1" t="n">
        <v>4</v>
      </c>
    </row>
    <row r="61" customFormat="false" ht="12.75" hidden="false" customHeight="false" outlineLevel="0" collapsed="false">
      <c r="A61" s="1" t="s">
        <v>202</v>
      </c>
      <c r="B61" s="1" t="n">
        <v>1</v>
      </c>
      <c r="C61" s="1" t="n">
        <v>0.719</v>
      </c>
      <c r="D61" s="1" t="n">
        <v>11.6</v>
      </c>
      <c r="E61" s="57" t="n">
        <v>0.667</v>
      </c>
      <c r="F61" s="1" t="n">
        <v>8</v>
      </c>
      <c r="G61" s="1" t="n">
        <v>72.2</v>
      </c>
      <c r="H61" s="1" t="n">
        <v>16.2</v>
      </c>
      <c r="I61" s="1" t="n">
        <v>68.1</v>
      </c>
      <c r="J61" s="25" t="n">
        <v>0.5376</v>
      </c>
      <c r="K61" s="1" t="n">
        <v>0</v>
      </c>
      <c r="L61" s="1" t="n">
        <v>0</v>
      </c>
      <c r="M61" s="1" t="n">
        <v>5</v>
      </c>
      <c r="N61" s="1" t="n">
        <v>3</v>
      </c>
      <c r="O61" s="1" t="n">
        <v>21</v>
      </c>
      <c r="P61" s="1" t="n">
        <v>0.723</v>
      </c>
      <c r="Q61" s="1" t="n">
        <v>351</v>
      </c>
      <c r="R61" s="1" t="n">
        <v>29.822</v>
      </c>
      <c r="S61" s="1" t="n">
        <v>11.3</v>
      </c>
      <c r="T61" s="1" t="n">
        <v>1102</v>
      </c>
      <c r="U61" s="1" t="n">
        <v>4.7</v>
      </c>
      <c r="V61" s="1" t="n">
        <v>8165</v>
      </c>
      <c r="W61" s="1" t="n">
        <f aca="false">K61*L61</f>
        <v>0</v>
      </c>
      <c r="X61" s="1" t="n">
        <v>0</v>
      </c>
      <c r="Y61" s="1" t="n">
        <v>52.5</v>
      </c>
      <c r="Z61" s="1" t="n">
        <f aca="false">IF(M61+N61=0, 0, M61/(M61+N61))</f>
        <v>0.625</v>
      </c>
      <c r="AA61" s="1" t="n">
        <f aca="false">M61+N61</f>
        <v>8</v>
      </c>
      <c r="AE61" s="1" t="n">
        <v>15</v>
      </c>
      <c r="AF61" s="1" t="n">
        <v>0</v>
      </c>
    </row>
    <row r="62" customFormat="false" ht="12.75" hidden="false" customHeight="false" outlineLevel="0" collapsed="false">
      <c r="A62" s="1" t="s">
        <v>64</v>
      </c>
      <c r="B62" s="1" t="n">
        <v>0</v>
      </c>
      <c r="C62" s="1" t="n">
        <v>0.735</v>
      </c>
      <c r="D62" s="1" t="n">
        <v>12.8</v>
      </c>
      <c r="E62" s="57" t="n">
        <v>0.667</v>
      </c>
      <c r="F62" s="1" t="n">
        <v>7</v>
      </c>
      <c r="G62" s="1" t="n">
        <v>74.4</v>
      </c>
      <c r="H62" s="1" t="n">
        <v>15.7</v>
      </c>
      <c r="I62" s="1" t="n">
        <v>68.9</v>
      </c>
      <c r="J62" s="25" t="n">
        <v>0.5428</v>
      </c>
      <c r="K62" s="1" t="n">
        <v>0</v>
      </c>
      <c r="L62" s="1" t="n">
        <v>1</v>
      </c>
      <c r="M62" s="1" t="n">
        <v>6</v>
      </c>
      <c r="N62" s="1" t="n">
        <v>4</v>
      </c>
      <c r="O62" s="1" t="n">
        <v>13</v>
      </c>
      <c r="P62" s="1" t="n">
        <v>0.724</v>
      </c>
      <c r="Q62" s="1" t="n">
        <v>376</v>
      </c>
      <c r="R62" s="1" t="n">
        <v>32.91</v>
      </c>
      <c r="S62" s="1" t="n">
        <v>10.8</v>
      </c>
      <c r="T62" s="1" t="n">
        <v>1234</v>
      </c>
      <c r="U62" s="1" t="n">
        <v>5.8</v>
      </c>
      <c r="V62" s="1" t="n">
        <v>6353</v>
      </c>
      <c r="W62" s="1" t="n">
        <f aca="false">K62*L62</f>
        <v>0</v>
      </c>
      <c r="X62" s="1" t="n">
        <v>0</v>
      </c>
      <c r="Y62" s="1" t="n">
        <v>53.6</v>
      </c>
      <c r="Z62" s="1" t="n">
        <f aca="false">IF(M62+N62=0, 0, M62/(M62+N62))</f>
        <v>0.6</v>
      </c>
      <c r="AA62" s="1" t="n">
        <f aca="false">M62+N62</f>
        <v>10</v>
      </c>
      <c r="AE62" s="1" t="n">
        <v>10</v>
      </c>
      <c r="AF62" s="1" t="n">
        <v>3</v>
      </c>
    </row>
    <row r="63" customFormat="false" ht="12.75" hidden="false" customHeight="false" outlineLevel="0" collapsed="false">
      <c r="A63" s="1" t="s">
        <v>378</v>
      </c>
      <c r="B63" s="1" t="n">
        <v>0</v>
      </c>
      <c r="C63" s="1" t="n">
        <v>0.735</v>
      </c>
      <c r="D63" s="1" t="n">
        <v>13.1</v>
      </c>
      <c r="E63" s="57" t="n">
        <v>0.444</v>
      </c>
      <c r="F63" s="1" t="n">
        <v>7</v>
      </c>
      <c r="G63" s="1" t="n">
        <v>71.4</v>
      </c>
      <c r="H63" s="1" t="n">
        <v>20.2</v>
      </c>
      <c r="I63" s="1" t="n">
        <v>63</v>
      </c>
      <c r="J63" s="25" t="n">
        <v>0.5356</v>
      </c>
      <c r="K63" s="1" t="n">
        <v>0</v>
      </c>
      <c r="L63" s="1" t="n">
        <v>0</v>
      </c>
      <c r="M63" s="1" t="n">
        <v>5</v>
      </c>
      <c r="N63" s="1" t="n">
        <v>7</v>
      </c>
      <c r="O63" s="1" t="n">
        <v>15</v>
      </c>
      <c r="P63" s="1" t="n">
        <v>0.703</v>
      </c>
      <c r="Q63" s="1" t="n">
        <v>475</v>
      </c>
      <c r="R63" s="1" t="n">
        <v>29.765</v>
      </c>
      <c r="S63" s="1" t="n">
        <v>11.9</v>
      </c>
      <c r="T63" s="1" t="n">
        <v>1364</v>
      </c>
      <c r="U63" s="1" t="n">
        <v>7.5</v>
      </c>
      <c r="V63" s="1" t="n">
        <v>14025</v>
      </c>
      <c r="W63" s="1" t="n">
        <f aca="false">K63*L63</f>
        <v>0</v>
      </c>
      <c r="X63" s="1" t="n">
        <v>1</v>
      </c>
      <c r="Y63" s="1" t="n">
        <v>52.1</v>
      </c>
      <c r="Z63" s="1" t="n">
        <f aca="false">IF(M63+N63=0, 0, M63/(M63+N63))</f>
        <v>0.416666666666667</v>
      </c>
      <c r="AA63" s="1" t="n">
        <f aca="false">M63+N63</f>
        <v>12</v>
      </c>
      <c r="AE63" s="1" t="n">
        <v>2</v>
      </c>
      <c r="AF63" s="1" t="n">
        <v>0</v>
      </c>
    </row>
    <row r="64" customFormat="false" ht="12.75" hidden="false" customHeight="false" outlineLevel="0" collapsed="false">
      <c r="A64" s="1" t="s">
        <v>267</v>
      </c>
      <c r="B64" s="1" t="n">
        <v>0</v>
      </c>
      <c r="C64" s="1" t="n">
        <v>0.788</v>
      </c>
      <c r="D64" s="1" t="n">
        <v>10</v>
      </c>
      <c r="E64" s="57" t="n">
        <f aca="false">4 / 6</f>
        <v>0.6666666667</v>
      </c>
      <c r="F64" s="1" t="n">
        <v>9</v>
      </c>
      <c r="G64" s="1" t="n">
        <v>71.2</v>
      </c>
      <c r="H64" s="1" t="n">
        <v>22.2</v>
      </c>
      <c r="I64" s="1" t="n">
        <v>62.2</v>
      </c>
      <c r="J64" s="25" t="n">
        <v>0.4846</v>
      </c>
      <c r="K64" s="1" t="n">
        <v>1</v>
      </c>
      <c r="L64" s="1" t="n">
        <v>0</v>
      </c>
      <c r="M64" s="1" t="n">
        <v>0</v>
      </c>
      <c r="N64" s="1" t="n">
        <v>2</v>
      </c>
      <c r="O64" s="1" t="n">
        <v>24</v>
      </c>
      <c r="P64" s="1" t="n">
        <v>0.731</v>
      </c>
      <c r="Q64" s="1" t="n">
        <v>479</v>
      </c>
      <c r="R64" s="1" t="n">
        <v>27.164</v>
      </c>
      <c r="S64" s="1" t="n">
        <v>8.9</v>
      </c>
      <c r="T64" s="1" t="n">
        <v>1086</v>
      </c>
      <c r="U64" s="1" t="n">
        <v>8.9</v>
      </c>
      <c r="V64" s="1" t="n">
        <v>3383</v>
      </c>
      <c r="W64" s="1" t="n">
        <f aca="false">K64*L64</f>
        <v>0</v>
      </c>
      <c r="X64" s="1" t="n">
        <v>0</v>
      </c>
      <c r="Y64" s="1" t="n">
        <v>51.7</v>
      </c>
      <c r="Z64" s="1" t="n">
        <f aca="false">IF(M64+N64=0, 0, M64/(M64+N64))</f>
        <v>0</v>
      </c>
      <c r="AA64" s="1" t="n">
        <f aca="false">M64+N64</f>
        <v>2</v>
      </c>
      <c r="AE64" s="1" t="n">
        <v>1</v>
      </c>
      <c r="AF64" s="1" t="n">
        <v>0</v>
      </c>
    </row>
    <row r="65" customFormat="false" ht="12.75" hidden="false" customHeight="false" outlineLevel="0" collapsed="false">
      <c r="A65" s="1" t="s">
        <v>207</v>
      </c>
      <c r="B65" s="1" t="n">
        <v>1</v>
      </c>
      <c r="C65" s="1" t="n">
        <v>0.765</v>
      </c>
      <c r="D65" s="1" t="n">
        <v>17.4</v>
      </c>
      <c r="E65" s="57" t="n">
        <v>0.5</v>
      </c>
      <c r="F65" s="1" t="n">
        <v>7</v>
      </c>
      <c r="G65" s="1" t="n">
        <v>76.9</v>
      </c>
      <c r="H65" s="1" t="n">
        <v>17.1</v>
      </c>
      <c r="I65" s="1" t="n">
        <v>64.8</v>
      </c>
      <c r="J65" s="25" t="n">
        <v>0.5465</v>
      </c>
      <c r="K65" s="1" t="n">
        <v>0</v>
      </c>
      <c r="L65" s="1" t="n">
        <v>0</v>
      </c>
      <c r="M65" s="1" t="n">
        <v>5</v>
      </c>
      <c r="N65" s="1" t="n">
        <v>6</v>
      </c>
      <c r="O65" s="1" t="n">
        <v>18</v>
      </c>
      <c r="P65" s="1" t="n">
        <v>0.701</v>
      </c>
      <c r="Q65" s="1" t="n">
        <v>402</v>
      </c>
      <c r="R65" s="1" t="n">
        <v>30.744</v>
      </c>
      <c r="S65" s="1" t="n">
        <v>13.9</v>
      </c>
      <c r="T65" s="1" t="n">
        <v>1184</v>
      </c>
      <c r="U65" s="1" t="n">
        <v>12.5</v>
      </c>
      <c r="V65" s="1" t="n">
        <v>7622</v>
      </c>
      <c r="W65" s="1" t="n">
        <f aca="false">K65*L65</f>
        <v>0</v>
      </c>
      <c r="X65" s="1" t="n">
        <v>0</v>
      </c>
      <c r="Y65" s="1" t="n">
        <v>56.5</v>
      </c>
      <c r="Z65" s="1" t="n">
        <f aca="false">IF(M65+N65=0, 0, M65/(M65+N65))</f>
        <v>0.454545454545455</v>
      </c>
      <c r="AA65" s="1" t="n">
        <f aca="false">M65+N65</f>
        <v>11</v>
      </c>
      <c r="AE65" s="1" t="n">
        <v>3</v>
      </c>
      <c r="AF65" s="1" t="n">
        <v>1</v>
      </c>
    </row>
    <row r="66" customFormat="false" ht="12.75" hidden="false" customHeight="false" outlineLevel="0" collapsed="false">
      <c r="A66" s="1" t="s">
        <v>135</v>
      </c>
      <c r="B66" s="1" t="n">
        <v>0</v>
      </c>
      <c r="C66" s="1" t="n">
        <v>0.606</v>
      </c>
      <c r="D66" s="1" t="n">
        <v>12</v>
      </c>
      <c r="E66" s="57" t="n">
        <v>0.286</v>
      </c>
      <c r="F66" s="1" t="n">
        <v>6</v>
      </c>
      <c r="G66" s="1" t="n">
        <v>67.9</v>
      </c>
      <c r="H66" s="1" t="n">
        <v>22.9</v>
      </c>
      <c r="I66" s="1" t="n">
        <v>64.7</v>
      </c>
      <c r="J66" s="25" t="n">
        <v>0.5068</v>
      </c>
      <c r="K66" s="1" t="n">
        <v>0</v>
      </c>
      <c r="L66" s="1" t="n">
        <v>1</v>
      </c>
      <c r="M66" s="1" t="n">
        <v>4</v>
      </c>
      <c r="N66" s="1" t="n">
        <v>7</v>
      </c>
      <c r="O66" s="1" t="n">
        <v>15</v>
      </c>
      <c r="P66" s="1" t="n">
        <v>0.719</v>
      </c>
      <c r="Q66" s="1" t="n">
        <v>517</v>
      </c>
      <c r="R66" s="1" t="n">
        <v>39.983</v>
      </c>
      <c r="S66" s="1" t="n">
        <v>11.2</v>
      </c>
      <c r="T66" s="1" t="n">
        <v>1197</v>
      </c>
      <c r="V66" s="1" t="n">
        <v>8923</v>
      </c>
      <c r="W66" s="1" t="n">
        <f aca="false">K66*L66</f>
        <v>0</v>
      </c>
      <c r="X66" s="1" t="n">
        <v>0</v>
      </c>
      <c r="Y66" s="1" t="n">
        <v>48.4</v>
      </c>
      <c r="Z66" s="1" t="n">
        <f aca="false">IF(M66+N66=0, 0, M66/(M66+N66))</f>
        <v>0.363636363636364</v>
      </c>
      <c r="AA66" s="1" t="n">
        <f aca="false">M66+N66</f>
        <v>11</v>
      </c>
      <c r="AE66" s="1" t="n">
        <v>10</v>
      </c>
      <c r="AF66" s="1" t="n">
        <v>1</v>
      </c>
    </row>
    <row r="67" customFormat="false" ht="12.75" hidden="false" customHeight="false" outlineLevel="0" collapsed="false">
      <c r="A67" s="1" t="s">
        <v>379</v>
      </c>
      <c r="B67" s="1" t="n">
        <v>0</v>
      </c>
      <c r="C67" s="1" t="n">
        <v>0.571</v>
      </c>
      <c r="D67" s="1" t="n">
        <v>-1.8</v>
      </c>
      <c r="E67" s="57" t="n">
        <v>0.375</v>
      </c>
      <c r="F67" s="1" t="n">
        <v>7</v>
      </c>
      <c r="G67" s="1" t="n">
        <v>66.9</v>
      </c>
      <c r="H67" s="1" t="n">
        <v>22.4</v>
      </c>
      <c r="I67" s="1" t="n">
        <v>66.8</v>
      </c>
      <c r="J67" s="25" t="n">
        <v>0.5165</v>
      </c>
      <c r="K67" s="1" t="n">
        <v>1</v>
      </c>
      <c r="L67" s="1" t="n">
        <v>0</v>
      </c>
      <c r="M67" s="1" t="n">
        <v>0</v>
      </c>
      <c r="N67" s="1" t="n">
        <v>4</v>
      </c>
      <c r="O67" s="1" t="n">
        <v>16</v>
      </c>
      <c r="P67" s="1" t="n">
        <v>0.674</v>
      </c>
      <c r="Q67" s="1" t="n">
        <v>527</v>
      </c>
      <c r="R67" s="1" t="n">
        <v>33.412</v>
      </c>
      <c r="S67" s="1" t="n">
        <v>12.1</v>
      </c>
      <c r="T67" s="1" t="n">
        <v>1266</v>
      </c>
      <c r="U67" s="1" t="n">
        <v>0.7</v>
      </c>
      <c r="V67" s="1" t="n">
        <v>3993</v>
      </c>
      <c r="W67" s="1" t="n">
        <f aca="false">K67*L67</f>
        <v>0</v>
      </c>
      <c r="X67" s="1" t="n">
        <v>0</v>
      </c>
      <c r="Y67" s="1" t="n">
        <v>51.2</v>
      </c>
      <c r="Z67" s="1" t="n">
        <f aca="false">IF(M67+N67=0, 0, M67/(M67+N67))</f>
        <v>0</v>
      </c>
      <c r="AA67" s="1" t="n">
        <f aca="false">M67+N67</f>
        <v>4</v>
      </c>
      <c r="AE67" s="1" t="n">
        <v>2</v>
      </c>
      <c r="AF67" s="1" t="n">
        <v>0</v>
      </c>
    </row>
    <row r="68" customFormat="false" ht="12.75" hidden="false" customHeight="false" outlineLevel="0" collapsed="false">
      <c r="A68" s="1" t="s">
        <v>210</v>
      </c>
      <c r="B68" s="1" t="n">
        <v>4</v>
      </c>
      <c r="C68" s="1" t="n">
        <v>0.765</v>
      </c>
      <c r="D68" s="1" t="n">
        <v>18.5</v>
      </c>
      <c r="E68" s="57" t="n">
        <f aca="false">5/9</f>
        <v>0.5555555556</v>
      </c>
      <c r="F68" s="1" t="n">
        <v>7</v>
      </c>
      <c r="G68" s="1" t="n">
        <v>69.7</v>
      </c>
      <c r="H68" s="1" t="n">
        <v>19.8</v>
      </c>
      <c r="I68" s="1" t="n">
        <v>61</v>
      </c>
      <c r="J68" s="25" t="n">
        <v>0.5385</v>
      </c>
      <c r="K68" s="1" t="n">
        <v>0</v>
      </c>
      <c r="L68" s="1" t="n">
        <v>0</v>
      </c>
      <c r="M68" s="1" t="n">
        <v>2</v>
      </c>
      <c r="N68" s="1" t="n">
        <v>1</v>
      </c>
      <c r="O68" s="1" t="n">
        <v>18</v>
      </c>
      <c r="P68" s="1" t="n">
        <v>0.699</v>
      </c>
      <c r="Q68" s="1" t="n">
        <v>435</v>
      </c>
      <c r="R68" s="1" t="n">
        <v>34.2</v>
      </c>
      <c r="S68" s="1" t="n">
        <v>13.1</v>
      </c>
      <c r="T68" s="1" t="n">
        <v>1307</v>
      </c>
      <c r="U68" s="1" t="n">
        <v>8.7</v>
      </c>
      <c r="V68" s="1" t="n">
        <v>10391</v>
      </c>
      <c r="W68" s="1" t="n">
        <f aca="false">K68*L68</f>
        <v>0</v>
      </c>
      <c r="X68" s="1" t="n">
        <v>0</v>
      </c>
      <c r="Y68" s="1" t="n">
        <v>55.3</v>
      </c>
      <c r="Z68" s="1" t="n">
        <f aca="false">IF(M68+N68=0, 0, M68/(M68+N68))</f>
        <v>0.666666666666667</v>
      </c>
      <c r="AA68" s="1" t="n">
        <f aca="false">M68+N68</f>
        <v>3</v>
      </c>
      <c r="AE68" s="1" t="n">
        <v>9</v>
      </c>
      <c r="AF68" s="1" t="n">
        <v>1</v>
      </c>
    </row>
    <row r="69" customFormat="false" ht="12.75" hidden="false" customHeight="false" outlineLevel="0" collapsed="false">
      <c r="A69" s="1" t="s">
        <v>138</v>
      </c>
      <c r="B69" s="1" t="n">
        <v>0</v>
      </c>
      <c r="C69" s="1" t="n">
        <v>0.676</v>
      </c>
      <c r="D69" s="1" t="n">
        <v>18.5</v>
      </c>
      <c r="E69" s="57" t="n">
        <v>0.625</v>
      </c>
      <c r="F69" s="1" t="n">
        <v>6</v>
      </c>
      <c r="G69" s="1" t="n">
        <v>65</v>
      </c>
      <c r="H69" s="1" t="n">
        <v>15.6</v>
      </c>
      <c r="I69" s="1" t="n">
        <v>55.9</v>
      </c>
      <c r="J69" s="25" t="n">
        <v>0.5125</v>
      </c>
      <c r="K69" s="1" t="n">
        <v>0</v>
      </c>
      <c r="L69" s="1" t="n">
        <v>1</v>
      </c>
      <c r="M69" s="1" t="n">
        <v>9</v>
      </c>
      <c r="N69" s="1" t="n">
        <v>7</v>
      </c>
      <c r="O69" s="1" t="n">
        <v>18</v>
      </c>
      <c r="P69" s="1" t="n">
        <v>0.636</v>
      </c>
      <c r="Q69" s="1" t="n">
        <v>331</v>
      </c>
      <c r="R69" s="1" t="n">
        <v>31.665</v>
      </c>
      <c r="S69" s="1" t="n">
        <v>11.7</v>
      </c>
      <c r="T69" s="1" t="n">
        <v>1247</v>
      </c>
      <c r="U69" s="1" t="n">
        <v>9.6</v>
      </c>
      <c r="V69" s="1" t="n">
        <v>17181</v>
      </c>
      <c r="W69" s="1" t="n">
        <f aca="false">K69*L69</f>
        <v>0</v>
      </c>
      <c r="X69" s="1" t="n">
        <v>1</v>
      </c>
      <c r="Y69" s="1" t="n">
        <v>53.7</v>
      </c>
      <c r="Z69" s="1" t="n">
        <f aca="false">IF(M69+N69=0, 0, M69/(M69+N69))</f>
        <v>0.5625</v>
      </c>
      <c r="AA69" s="1" t="n">
        <f aca="false">M69+N69</f>
        <v>16</v>
      </c>
      <c r="AE69" s="1" t="n">
        <v>12</v>
      </c>
      <c r="AF69" s="1" t="n">
        <v>0</v>
      </c>
    </row>
    <row r="70" customFormat="false" ht="12.75" hidden="false" customHeight="false" outlineLevel="0" collapsed="false">
      <c r="J70" s="25"/>
    </row>
    <row r="71" customFormat="false" ht="12.75" hidden="false" customHeight="false" outlineLevel="0" collapsed="false">
      <c r="J71" s="25"/>
    </row>
    <row r="72" customFormat="false" ht="12.75" hidden="false" customHeight="false" outlineLevel="0" collapsed="false">
      <c r="J72" s="25"/>
    </row>
    <row r="73" customFormat="false" ht="12.75" hidden="false" customHeight="false" outlineLevel="0" collapsed="false">
      <c r="J73" s="25"/>
    </row>
    <row r="74" customFormat="false" ht="12.75" hidden="false" customHeight="false" outlineLevel="0" collapsed="false">
      <c r="J74" s="25"/>
    </row>
    <row r="75" customFormat="false" ht="12.75" hidden="false" customHeight="false" outlineLevel="0" collapsed="false">
      <c r="J75" s="25"/>
    </row>
    <row r="76" customFormat="false" ht="12.75" hidden="false" customHeight="false" outlineLevel="0" collapsed="false">
      <c r="J76" s="25"/>
    </row>
    <row r="77" customFormat="false" ht="12.75" hidden="false" customHeight="false" outlineLevel="0" collapsed="false">
      <c r="J77" s="25"/>
    </row>
    <row r="78" customFormat="false" ht="12.75" hidden="false" customHeight="false" outlineLevel="0" collapsed="false">
      <c r="J78" s="25"/>
    </row>
    <row r="79" customFormat="false" ht="12.75" hidden="false" customHeight="false" outlineLevel="0" collapsed="false">
      <c r="J79" s="25"/>
    </row>
    <row r="80" customFormat="false" ht="12.75" hidden="false" customHeight="false" outlineLevel="0" collapsed="false">
      <c r="J80" s="25"/>
    </row>
    <row r="81" customFormat="false" ht="12.75" hidden="false" customHeight="false" outlineLevel="0" collapsed="false">
      <c r="J81" s="25"/>
    </row>
    <row r="82" customFormat="false" ht="12.75" hidden="false" customHeight="false" outlineLevel="0" collapsed="false">
      <c r="J82" s="25"/>
    </row>
    <row r="83" customFormat="false" ht="12.75" hidden="false" customHeight="false" outlineLevel="0" collapsed="false">
      <c r="J83" s="25"/>
    </row>
    <row r="84" customFormat="false" ht="12.75" hidden="false" customHeight="false" outlineLevel="0" collapsed="false">
      <c r="J84" s="25"/>
    </row>
    <row r="85" customFormat="false" ht="12.75" hidden="false" customHeight="false" outlineLevel="0" collapsed="false">
      <c r="J85" s="25"/>
    </row>
    <row r="86" customFormat="false" ht="12.75" hidden="false" customHeight="false" outlineLevel="0" collapsed="false">
      <c r="J86" s="25"/>
    </row>
    <row r="87" customFormat="false" ht="12.75" hidden="false" customHeight="false" outlineLevel="0" collapsed="false">
      <c r="J87" s="25"/>
    </row>
    <row r="88" customFormat="false" ht="12.75" hidden="false" customHeight="false" outlineLevel="0" collapsed="false">
      <c r="J88" s="25"/>
    </row>
    <row r="89" customFormat="false" ht="12.75" hidden="false" customHeight="false" outlineLevel="0" collapsed="false">
      <c r="J89" s="25"/>
    </row>
    <row r="90" customFormat="false" ht="12.75" hidden="false" customHeight="false" outlineLevel="0" collapsed="false">
      <c r="J90" s="25"/>
    </row>
    <row r="91" customFormat="false" ht="12.75" hidden="false" customHeight="false" outlineLevel="0" collapsed="false">
      <c r="J91" s="25"/>
    </row>
    <row r="92" customFormat="false" ht="12.75" hidden="false" customHeight="false" outlineLevel="0" collapsed="false">
      <c r="J92" s="25"/>
    </row>
    <row r="93" customFormat="false" ht="12.75" hidden="false" customHeight="false" outlineLevel="0" collapsed="false">
      <c r="J93" s="25"/>
    </row>
    <row r="94" customFormat="false" ht="12.75" hidden="false" customHeight="false" outlineLevel="0" collapsed="false">
      <c r="J94" s="25"/>
    </row>
    <row r="95" customFormat="false" ht="12.75" hidden="false" customHeight="false" outlineLevel="0" collapsed="false">
      <c r="J95" s="25"/>
    </row>
    <row r="96" customFormat="false" ht="12.75" hidden="false" customHeight="false" outlineLevel="0" collapsed="false">
      <c r="J96" s="25"/>
    </row>
    <row r="97" customFormat="false" ht="12.75" hidden="false" customHeight="false" outlineLevel="0" collapsed="false">
      <c r="J97" s="25"/>
    </row>
    <row r="98" customFormat="false" ht="12.75" hidden="false" customHeight="false" outlineLevel="0" collapsed="false">
      <c r="J98" s="25"/>
    </row>
    <row r="99" customFormat="false" ht="12.75" hidden="false" customHeight="false" outlineLevel="0" collapsed="false">
      <c r="J99" s="25"/>
    </row>
    <row r="100" customFormat="false" ht="12.75" hidden="false" customHeight="false" outlineLevel="0" collapsed="false">
      <c r="J100" s="25"/>
    </row>
    <row r="101" customFormat="false" ht="12.75" hidden="false" customHeight="false" outlineLevel="0" collapsed="false">
      <c r="J101" s="2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7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RowHeight="12.75" zeroHeight="false" outlineLevelRow="0" outlineLevelCol="0"/>
  <cols>
    <col collapsed="false" customWidth="true" hidden="false" outlineLevel="0" max="3" min="1" style="0" width="17.29"/>
    <col collapsed="false" customWidth="true" hidden="false" outlineLevel="0" max="4" min="4" style="0" width="22.14"/>
    <col collapsed="false" customWidth="true" hidden="false" outlineLevel="0" max="19" min="5" style="0" width="17.29"/>
    <col collapsed="false" customWidth="true" hidden="false" outlineLevel="0" max="20" min="20" style="0" width="17.71"/>
    <col collapsed="false" customWidth="true" hidden="false" outlineLevel="0" max="26" min="21" style="0" width="17.29"/>
    <col collapsed="false" customWidth="true" hidden="false" outlineLevel="0" max="1025" min="27" style="0" width="14.43"/>
  </cols>
  <sheetData>
    <row r="1" customFormat="false" ht="12.75" hidden="false" customHeight="false" outlineLevel="0" collapsed="false">
      <c r="A1" s="1" t="s">
        <v>380</v>
      </c>
      <c r="B1" s="1" t="s">
        <v>139</v>
      </c>
      <c r="C1" s="1" t="s">
        <v>381</v>
      </c>
      <c r="D1" s="1" t="s">
        <v>382</v>
      </c>
      <c r="E1" s="1" t="s">
        <v>383</v>
      </c>
      <c r="F1" s="1" t="s">
        <v>384</v>
      </c>
      <c r="G1" s="1" t="s">
        <v>385</v>
      </c>
      <c r="H1" s="1" t="s">
        <v>343</v>
      </c>
      <c r="I1" s="1" t="s">
        <v>344</v>
      </c>
      <c r="J1" s="1" t="s">
        <v>345</v>
      </c>
      <c r="K1" s="1" t="s">
        <v>153</v>
      </c>
      <c r="L1" s="1" t="s">
        <v>96</v>
      </c>
      <c r="M1" s="1" t="s">
        <v>346</v>
      </c>
      <c r="N1" s="1" t="s">
        <v>148</v>
      </c>
      <c r="O1" s="1" t="s">
        <v>386</v>
      </c>
      <c r="P1" s="1" t="s">
        <v>348</v>
      </c>
      <c r="Q1" s="1" t="s">
        <v>237</v>
      </c>
      <c r="R1" s="1" t="s">
        <v>140</v>
      </c>
      <c r="S1" s="1" t="s">
        <v>349</v>
      </c>
      <c r="T1" s="1" t="s">
        <v>387</v>
      </c>
      <c r="U1" s="1" t="s">
        <v>388</v>
      </c>
      <c r="V1" s="1" t="s">
        <v>351</v>
      </c>
      <c r="W1" s="1" t="s">
        <v>356</v>
      </c>
      <c r="X1" s="1" t="s">
        <v>389</v>
      </c>
      <c r="Y1" s="1" t="s">
        <v>353</v>
      </c>
      <c r="Z1" s="1" t="s">
        <v>390</v>
      </c>
    </row>
    <row r="2" customFormat="false" ht="12.75" hidden="false" customHeight="false" outlineLevel="0" collapsed="false">
      <c r="A2" s="1" t="s">
        <v>57</v>
      </c>
      <c r="B2" s="1" t="n">
        <v>0</v>
      </c>
      <c r="C2" s="1" t="n">
        <v>0.186344</v>
      </c>
      <c r="D2" s="1" t="n">
        <v>0</v>
      </c>
      <c r="E2" s="1" t="n">
        <v>0.656</v>
      </c>
      <c r="F2" s="1" t="n">
        <v>10.8</v>
      </c>
      <c r="G2" s="1" t="n">
        <v>20</v>
      </c>
      <c r="H2" s="1" t="n">
        <v>6</v>
      </c>
      <c r="I2" s="1" t="n">
        <v>63</v>
      </c>
      <c r="J2" s="1" t="n">
        <v>20.4</v>
      </c>
      <c r="K2" s="1" t="n">
        <v>70.1</v>
      </c>
      <c r="L2" s="1" t="n">
        <v>0.5217</v>
      </c>
      <c r="M2" s="1" t="n">
        <v>0</v>
      </c>
      <c r="N2" s="1" t="n">
        <v>1</v>
      </c>
      <c r="O2" s="1" t="n">
        <v>2</v>
      </c>
      <c r="P2" s="1" t="n">
        <v>6</v>
      </c>
      <c r="Q2" s="1" t="n">
        <v>12</v>
      </c>
      <c r="R2" s="1" t="n">
        <v>14.06</v>
      </c>
      <c r="S2" s="1" t="n">
        <v>0.683</v>
      </c>
      <c r="T2" s="1" t="n">
        <v>414</v>
      </c>
      <c r="V2" s="57" t="n">
        <f aca="false">X2/Y2</f>
        <v>0.306818181818182</v>
      </c>
      <c r="W2" s="1" t="n">
        <f aca="false">N2*M2</f>
        <v>0</v>
      </c>
      <c r="X2" s="1" t="n">
        <v>10.8</v>
      </c>
      <c r="Y2" s="1" t="n">
        <v>35.2</v>
      </c>
      <c r="Z2" s="1" t="n">
        <f aca="false">I2-K2</f>
        <v>-7.09999999999999</v>
      </c>
    </row>
    <row r="3" customFormat="false" ht="12.75" hidden="false" customHeight="false" outlineLevel="0" collapsed="false">
      <c r="A3" s="1" t="s">
        <v>102</v>
      </c>
      <c r="B3" s="1" t="n">
        <v>3</v>
      </c>
      <c r="C3" s="1" t="n">
        <v>0.272128</v>
      </c>
      <c r="D3" s="1" t="n">
        <v>1</v>
      </c>
      <c r="E3" s="1" t="n">
        <v>0.794</v>
      </c>
      <c r="F3" s="1" t="n">
        <v>14.8</v>
      </c>
      <c r="G3" s="1" t="n">
        <v>80</v>
      </c>
      <c r="H3" s="1" t="n">
        <v>6</v>
      </c>
      <c r="I3" s="1" t="n">
        <v>74.9</v>
      </c>
      <c r="J3" s="1" t="n">
        <v>20.6</v>
      </c>
      <c r="K3" s="1" t="n">
        <v>64.9</v>
      </c>
      <c r="L3" s="1" t="n">
        <v>0.5538</v>
      </c>
      <c r="M3" s="1" t="n">
        <v>0</v>
      </c>
      <c r="N3" s="1" t="n">
        <v>1</v>
      </c>
      <c r="O3" s="1" t="n">
        <v>6</v>
      </c>
      <c r="P3" s="1" t="n">
        <v>7</v>
      </c>
      <c r="Q3" s="1" t="n">
        <v>15</v>
      </c>
      <c r="R3" s="1" t="n">
        <v>17.07</v>
      </c>
      <c r="S3" s="1" t="n">
        <v>0.751</v>
      </c>
      <c r="T3" s="1" t="n">
        <v>472</v>
      </c>
      <c r="V3" s="57" t="n">
        <f aca="false">X3/Y3</f>
        <v>0.334246575342466</v>
      </c>
      <c r="W3" s="1" t="n">
        <f aca="false">N3*M3</f>
        <v>0</v>
      </c>
      <c r="X3" s="1" t="n">
        <v>12.2</v>
      </c>
      <c r="Y3" s="1" t="n">
        <v>36.5</v>
      </c>
      <c r="Z3" s="1" t="n">
        <f aca="false">I3-K3</f>
        <v>10</v>
      </c>
    </row>
    <row r="4" customFormat="false" ht="12.75" hidden="false" customHeight="false" outlineLevel="0" collapsed="false">
      <c r="A4" s="1" t="s">
        <v>240</v>
      </c>
      <c r="B4" s="1" t="n">
        <v>0</v>
      </c>
      <c r="C4" s="1" t="n">
        <v>0.32371</v>
      </c>
      <c r="D4" s="1" t="n">
        <v>1</v>
      </c>
      <c r="E4" s="1" t="n">
        <v>0.794</v>
      </c>
      <c r="F4" s="1" t="n">
        <v>20.4</v>
      </c>
      <c r="G4" s="1" t="n">
        <v>44.4</v>
      </c>
      <c r="H4" s="1" t="n">
        <v>10</v>
      </c>
      <c r="I4" s="1" t="n">
        <v>81.5</v>
      </c>
      <c r="J4" s="1" t="n">
        <v>17.8</v>
      </c>
      <c r="K4" s="1" t="n">
        <v>67.3</v>
      </c>
      <c r="L4" s="1" t="n">
        <v>0.5538</v>
      </c>
      <c r="M4" s="1" t="n">
        <v>1</v>
      </c>
      <c r="N4" s="1" t="n">
        <v>0</v>
      </c>
      <c r="O4" s="1" t="n">
        <v>0</v>
      </c>
      <c r="P4" s="1" t="n">
        <v>2</v>
      </c>
      <c r="Q4" s="1" t="n">
        <v>20</v>
      </c>
      <c r="R4" s="1" t="n">
        <v>12.3</v>
      </c>
      <c r="S4" s="1" t="n">
        <v>0.737</v>
      </c>
      <c r="T4" s="1" t="n">
        <v>421</v>
      </c>
      <c r="V4" s="57" t="n">
        <f aca="false">X4/Y4</f>
        <v>0.316804407713499</v>
      </c>
      <c r="W4" s="1" t="n">
        <f aca="false">N4*M4</f>
        <v>0</v>
      </c>
      <c r="X4" s="1" t="n">
        <v>11.5</v>
      </c>
      <c r="Y4" s="1" t="n">
        <v>36.3</v>
      </c>
      <c r="Z4" s="1" t="n">
        <f aca="false">I4-K4</f>
        <v>14.2</v>
      </c>
    </row>
    <row r="5" customFormat="false" ht="12.75" hidden="false" customHeight="false" outlineLevel="0" collapsed="false">
      <c r="A5" s="1" t="s">
        <v>242</v>
      </c>
      <c r="B5" s="1" t="n">
        <v>0</v>
      </c>
      <c r="C5" s="1" t="n">
        <v>0.25459196</v>
      </c>
      <c r="D5" s="1" t="n">
        <v>3</v>
      </c>
      <c r="E5" s="1" t="n">
        <v>0.758</v>
      </c>
      <c r="F5" s="1" t="n">
        <v>16</v>
      </c>
      <c r="G5" s="1" t="n">
        <v>75</v>
      </c>
      <c r="H5" s="1" t="n">
        <v>7</v>
      </c>
      <c r="I5" s="1" t="n">
        <v>56.8</v>
      </c>
      <c r="J5" s="1" t="n">
        <v>18.2</v>
      </c>
      <c r="K5" s="1" t="n">
        <v>70.7</v>
      </c>
      <c r="L5" s="1" t="n">
        <v>0.5782</v>
      </c>
      <c r="M5" s="1" t="n">
        <v>0</v>
      </c>
      <c r="N5" s="1" t="n">
        <v>0</v>
      </c>
      <c r="O5" s="1" t="n">
        <v>1</v>
      </c>
      <c r="P5" s="1" t="n">
        <v>4</v>
      </c>
      <c r="Q5" s="1" t="n">
        <v>18</v>
      </c>
      <c r="R5" s="1" t="n">
        <v>11.65</v>
      </c>
      <c r="S5" s="1" t="n">
        <v>0.705</v>
      </c>
      <c r="T5" s="1" t="n">
        <v>436</v>
      </c>
      <c r="U5" s="1" t="n">
        <v>18714</v>
      </c>
      <c r="V5" s="57" t="n">
        <f aca="false">X5/Y5</f>
        <v>0.285714285714286</v>
      </c>
      <c r="W5" s="1" t="n">
        <f aca="false">N5*M5</f>
        <v>0</v>
      </c>
      <c r="X5" s="1" t="n">
        <v>11</v>
      </c>
      <c r="Y5" s="1" t="n">
        <v>38.5</v>
      </c>
      <c r="Z5" s="1" t="n">
        <f aca="false">I5-K5</f>
        <v>-13.9</v>
      </c>
    </row>
    <row r="6" customFormat="false" ht="12.75" hidden="false" customHeight="false" outlineLevel="0" collapsed="false">
      <c r="A6" s="1" t="s">
        <v>179</v>
      </c>
      <c r="B6" s="1" t="n">
        <v>-1</v>
      </c>
      <c r="C6" s="1" t="n">
        <v>0.19399011</v>
      </c>
      <c r="D6" s="1" t="n">
        <v>2</v>
      </c>
      <c r="E6" s="1" t="n">
        <v>0.727</v>
      </c>
      <c r="F6" s="1" t="n">
        <v>14.9</v>
      </c>
      <c r="G6" s="1" t="n">
        <v>42.8</v>
      </c>
      <c r="H6" s="1" t="n">
        <v>7</v>
      </c>
      <c r="I6" s="1" t="n">
        <v>71.7</v>
      </c>
      <c r="J6" s="1" t="n">
        <v>18.4</v>
      </c>
      <c r="K6" s="1" t="n">
        <v>61.8</v>
      </c>
      <c r="L6" s="1" t="n">
        <v>0.5745</v>
      </c>
      <c r="M6" s="1" t="n">
        <v>0</v>
      </c>
      <c r="N6" s="1" t="n">
        <v>1</v>
      </c>
      <c r="O6" s="1" t="n">
        <v>1</v>
      </c>
      <c r="P6" s="1" t="n">
        <v>5</v>
      </c>
      <c r="Q6" s="1" t="n">
        <v>16</v>
      </c>
      <c r="R6" s="1" t="n">
        <v>14.1</v>
      </c>
      <c r="S6" s="1" t="n">
        <v>0.746</v>
      </c>
      <c r="T6" s="1" t="n">
        <v>404</v>
      </c>
      <c r="V6" s="57" t="n">
        <f aca="false">X6/Y6</f>
        <v>0.286532951289398</v>
      </c>
      <c r="W6" s="1" t="n">
        <f aca="false">N6*M6</f>
        <v>0</v>
      </c>
      <c r="X6" s="1" t="n">
        <v>10</v>
      </c>
      <c r="Y6" s="1" t="n">
        <v>34.9</v>
      </c>
      <c r="Z6" s="1" t="n">
        <f aca="false">I6-K6</f>
        <v>9.90000000000001</v>
      </c>
    </row>
    <row r="7" customFormat="false" ht="12.75" hidden="false" customHeight="false" outlineLevel="0" collapsed="false">
      <c r="A7" s="1" t="s">
        <v>34</v>
      </c>
      <c r="B7" s="1" t="n">
        <v>2</v>
      </c>
      <c r="C7" s="1" t="n">
        <v>0.186344</v>
      </c>
      <c r="D7" s="1" t="n">
        <v>1</v>
      </c>
      <c r="E7" s="1" t="n">
        <v>0.706</v>
      </c>
      <c r="F7" s="1" t="n">
        <v>11.3</v>
      </c>
      <c r="G7" s="1" t="n">
        <v>66.6</v>
      </c>
      <c r="H7" s="1" t="n">
        <v>7</v>
      </c>
      <c r="I7" s="1" t="n">
        <v>68.5</v>
      </c>
      <c r="J7" s="1" t="n">
        <v>16.3</v>
      </c>
      <c r="K7" s="1" t="n">
        <v>61.2</v>
      </c>
      <c r="L7" s="1" t="n">
        <v>0.5387</v>
      </c>
      <c r="M7" s="1" t="n">
        <v>0</v>
      </c>
      <c r="N7" s="1" t="n">
        <v>1</v>
      </c>
      <c r="O7" s="1" t="n">
        <v>5</v>
      </c>
      <c r="P7" s="1" t="n">
        <v>5</v>
      </c>
      <c r="Q7" s="1" t="n">
        <v>18</v>
      </c>
      <c r="R7" s="1" t="n">
        <v>12.79</v>
      </c>
      <c r="S7" s="1" t="n">
        <v>0.641</v>
      </c>
      <c r="T7" s="1" t="n">
        <v>361</v>
      </c>
      <c r="V7" s="57" t="n">
        <f aca="false">X7/Y7</f>
        <v>0.37292817679558</v>
      </c>
      <c r="W7" s="1" t="n">
        <f aca="false">N7*M7</f>
        <v>0</v>
      </c>
      <c r="X7" s="1" t="n">
        <v>13.5</v>
      </c>
      <c r="Y7" s="1" t="n">
        <v>36.2</v>
      </c>
      <c r="Z7" s="1" t="n">
        <f aca="false">I7-K7</f>
        <v>7.3</v>
      </c>
    </row>
    <row r="8" customFormat="false" ht="12.75" hidden="false" customHeight="false" outlineLevel="0" collapsed="false">
      <c r="A8" s="1" t="s">
        <v>181</v>
      </c>
      <c r="B8" s="1" t="n">
        <v>1</v>
      </c>
      <c r="C8" s="1" t="n">
        <v>0.244125326370757</v>
      </c>
      <c r="D8" s="1" t="n">
        <v>0</v>
      </c>
      <c r="E8" s="1" t="n">
        <v>0.676</v>
      </c>
      <c r="F8" s="1" t="n">
        <v>7.7</v>
      </c>
      <c r="G8" s="1" t="n">
        <v>88.8</v>
      </c>
      <c r="H8" s="1" t="n">
        <v>7</v>
      </c>
      <c r="I8" s="1" t="n">
        <v>67.6</v>
      </c>
      <c r="J8" s="1" t="n">
        <v>19.3</v>
      </c>
      <c r="K8" s="1" t="n">
        <v>62.5</v>
      </c>
      <c r="L8" s="1" t="n">
        <v>0.5532</v>
      </c>
      <c r="M8" s="1" t="n">
        <v>1</v>
      </c>
      <c r="N8" s="1" t="n">
        <v>1</v>
      </c>
      <c r="O8" s="1" t="n">
        <v>1</v>
      </c>
      <c r="P8" s="1" t="n">
        <v>3</v>
      </c>
      <c r="Q8" s="1" t="n">
        <v>16</v>
      </c>
      <c r="R8" s="1" t="n">
        <v>7.73</v>
      </c>
      <c r="S8" s="1" t="n">
        <v>0.694</v>
      </c>
      <c r="T8" s="1" t="n">
        <v>432</v>
      </c>
      <c r="V8" s="57" t="n">
        <f aca="false">X8/Y8</f>
        <v>0.277310924369748</v>
      </c>
      <c r="W8" s="1" t="n">
        <f aca="false">N8*M8</f>
        <v>1</v>
      </c>
      <c r="X8" s="1" t="n">
        <v>9.9</v>
      </c>
      <c r="Y8" s="1" t="n">
        <v>35.7</v>
      </c>
      <c r="Z8" s="1" t="n">
        <f aca="false">I8-K8</f>
        <v>5.09999999999999</v>
      </c>
    </row>
    <row r="9" customFormat="false" ht="12.75" hidden="false" customHeight="false" outlineLevel="0" collapsed="false">
      <c r="A9" s="1" t="s">
        <v>362</v>
      </c>
      <c r="B9" s="1" t="n">
        <v>0</v>
      </c>
      <c r="C9" s="1" t="n">
        <f aca="false">18/71</f>
        <v>0.2535211268</v>
      </c>
      <c r="D9" s="1" t="n">
        <v>0</v>
      </c>
      <c r="E9" s="1" t="n">
        <v>0.645</v>
      </c>
      <c r="F9" s="1" t="n">
        <v>4.1</v>
      </c>
      <c r="G9" s="1" t="n">
        <v>62.5</v>
      </c>
      <c r="H9" s="1" t="n">
        <v>6</v>
      </c>
      <c r="I9" s="1" t="n">
        <v>71</v>
      </c>
      <c r="J9" s="1" t="n">
        <v>19.1</v>
      </c>
      <c r="K9" s="1" t="n">
        <v>68.4</v>
      </c>
      <c r="L9" s="1" t="n">
        <v>0.5678</v>
      </c>
      <c r="M9" s="1" t="n">
        <v>0</v>
      </c>
      <c r="N9" s="1" t="n">
        <v>1</v>
      </c>
      <c r="O9" s="1" t="n">
        <v>3</v>
      </c>
      <c r="P9" s="1" t="n">
        <v>6</v>
      </c>
      <c r="Q9" s="1" t="n">
        <v>19</v>
      </c>
      <c r="R9" s="1" t="n">
        <v>7.64</v>
      </c>
      <c r="S9" s="1" t="n">
        <v>0.769</v>
      </c>
      <c r="T9" s="1" t="n">
        <v>386</v>
      </c>
      <c r="V9" s="57" t="n">
        <f aca="false">X9/Y9</f>
        <v>0.261980830670926</v>
      </c>
      <c r="W9" s="1" t="n">
        <f aca="false">N9*M9</f>
        <v>0</v>
      </c>
      <c r="X9" s="1" t="n">
        <v>8.2</v>
      </c>
      <c r="Y9" s="1" t="n">
        <v>31.3</v>
      </c>
      <c r="Z9" s="1" t="n">
        <f aca="false">I9-K9</f>
        <v>2.59999999999999</v>
      </c>
    </row>
    <row r="10" customFormat="false" ht="12.75" hidden="false" customHeight="false" outlineLevel="0" collapsed="false">
      <c r="A10" s="1" t="s">
        <v>182</v>
      </c>
      <c r="B10" s="1" t="n">
        <v>0</v>
      </c>
      <c r="C10" s="1" t="n">
        <v>0.235200845665962</v>
      </c>
      <c r="D10" s="1" t="n">
        <v>2</v>
      </c>
      <c r="E10" s="1" t="n">
        <v>0.606</v>
      </c>
      <c r="F10" s="1" t="n">
        <v>7.3</v>
      </c>
      <c r="G10" s="1" t="n">
        <v>36.3</v>
      </c>
      <c r="H10" s="1" t="n">
        <v>5</v>
      </c>
      <c r="I10" s="1" t="n">
        <v>68.8</v>
      </c>
      <c r="J10" s="1" t="n">
        <v>19.3</v>
      </c>
      <c r="K10" s="1" t="n">
        <v>64.1</v>
      </c>
      <c r="L10" s="1" t="n">
        <v>0.5986</v>
      </c>
      <c r="M10" s="1" t="n">
        <v>0</v>
      </c>
      <c r="N10" s="1" t="n">
        <v>1</v>
      </c>
      <c r="O10" s="59" t="n">
        <v>4</v>
      </c>
      <c r="P10" s="60" t="n">
        <v>5</v>
      </c>
      <c r="Q10" s="61" t="n">
        <v>11</v>
      </c>
      <c r="R10" s="1" t="n">
        <v>12.87</v>
      </c>
      <c r="S10" s="1" t="n">
        <v>0.661</v>
      </c>
      <c r="T10" s="1" t="n">
        <v>414</v>
      </c>
      <c r="U10" s="55"/>
      <c r="V10" s="57" t="n">
        <f aca="false">X10/Y10</f>
        <v>0.325396825396825</v>
      </c>
      <c r="W10" s="1" t="n">
        <f aca="false">N10*M10</f>
        <v>0</v>
      </c>
      <c r="X10" s="1" t="n">
        <v>12.3</v>
      </c>
      <c r="Y10" s="1" t="n">
        <v>37.8</v>
      </c>
      <c r="Z10" s="1" t="n">
        <f aca="false">I10-K10</f>
        <v>4.7</v>
      </c>
    </row>
    <row r="11" customFormat="false" ht="12.75" hidden="false" customHeight="false" outlineLevel="0" collapsed="false">
      <c r="A11" s="1" t="s">
        <v>22</v>
      </c>
      <c r="B11" s="1" t="n">
        <v>1</v>
      </c>
      <c r="C11" s="1" t="n">
        <v>0.3068182</v>
      </c>
      <c r="D11" s="1" t="n">
        <v>0</v>
      </c>
      <c r="E11" s="1" t="n">
        <v>0.848</v>
      </c>
      <c r="F11" s="1" t="n">
        <v>15.4</v>
      </c>
      <c r="G11" s="1" t="n">
        <v>87.5</v>
      </c>
      <c r="H11" s="1" t="n">
        <v>7</v>
      </c>
      <c r="I11" s="1" t="n">
        <v>80</v>
      </c>
      <c r="J11" s="1" t="n">
        <v>18.1</v>
      </c>
      <c r="K11" s="1" t="n">
        <v>69.5</v>
      </c>
      <c r="L11" s="1" t="n">
        <v>0.5127</v>
      </c>
      <c r="M11" s="1" t="n">
        <v>1</v>
      </c>
      <c r="N11" s="1" t="n">
        <v>0</v>
      </c>
      <c r="O11" s="59" t="n">
        <v>3</v>
      </c>
      <c r="P11" s="60" t="n">
        <v>3</v>
      </c>
      <c r="Q11" s="61" t="n">
        <v>17</v>
      </c>
      <c r="R11" s="1" t="n">
        <v>13.63</v>
      </c>
      <c r="S11" s="1" t="n">
        <v>0.732</v>
      </c>
      <c r="T11" s="1" t="n">
        <v>405</v>
      </c>
      <c r="U11" s="55" t="n">
        <v>13507</v>
      </c>
      <c r="V11" s="57" t="n">
        <f aca="false">X11/Y11</f>
        <v>0.262430939226519</v>
      </c>
      <c r="W11" s="1" t="n">
        <f aca="false">N11*M11</f>
        <v>0</v>
      </c>
      <c r="X11" s="1" t="n">
        <v>9.5</v>
      </c>
      <c r="Y11" s="1" t="n">
        <v>36.2</v>
      </c>
      <c r="Z11" s="1" t="n">
        <f aca="false">I11-K11</f>
        <v>10.5</v>
      </c>
    </row>
    <row r="12" customFormat="false" ht="12.75" hidden="false" customHeight="false" outlineLevel="0" collapsed="false">
      <c r="A12" s="1" t="s">
        <v>25</v>
      </c>
      <c r="B12" s="1" t="n">
        <v>0</v>
      </c>
      <c r="C12" s="1" t="n">
        <v>0.300143</v>
      </c>
      <c r="D12" s="1" t="n">
        <v>0</v>
      </c>
      <c r="E12" s="1" t="n">
        <v>0.781</v>
      </c>
      <c r="F12" s="1" t="n">
        <v>15.3</v>
      </c>
      <c r="G12" s="1" t="n">
        <v>75</v>
      </c>
      <c r="H12" s="1" t="n">
        <v>8</v>
      </c>
      <c r="I12" s="1" t="n">
        <v>78.4</v>
      </c>
      <c r="J12" s="1" t="n">
        <v>17</v>
      </c>
      <c r="K12" s="1" t="n">
        <v>67.8</v>
      </c>
      <c r="L12" s="1" t="n">
        <v>0.4661</v>
      </c>
      <c r="M12" s="1" t="n">
        <v>0</v>
      </c>
      <c r="N12" s="1" t="n">
        <v>0</v>
      </c>
      <c r="O12" s="59" t="n">
        <v>1</v>
      </c>
      <c r="P12" s="60" t="n">
        <v>5</v>
      </c>
      <c r="Q12" s="61" t="n">
        <v>15</v>
      </c>
      <c r="R12" s="1" t="n">
        <v>7.47</v>
      </c>
      <c r="S12" s="1" t="n">
        <v>0.764</v>
      </c>
      <c r="T12" s="1" t="n">
        <v>378</v>
      </c>
      <c r="U12" s="55"/>
      <c r="V12" s="57" t="n">
        <f aca="false">X12/Y12</f>
        <v>0.323907455012853</v>
      </c>
      <c r="W12" s="1" t="n">
        <f aca="false">N12*M12</f>
        <v>0</v>
      </c>
      <c r="X12" s="1" t="n">
        <v>12.6</v>
      </c>
      <c r="Y12" s="1" t="n">
        <v>38.9</v>
      </c>
      <c r="Z12" s="1" t="n">
        <f aca="false">I12-K12</f>
        <v>10.6</v>
      </c>
    </row>
    <row r="13" customFormat="false" ht="12.75" hidden="false" customHeight="false" outlineLevel="0" collapsed="false">
      <c r="A13" s="1" t="s">
        <v>391</v>
      </c>
      <c r="B13" s="1" t="n">
        <v>0</v>
      </c>
      <c r="C13" s="1" t="n">
        <v>0.190738</v>
      </c>
      <c r="D13" s="1" t="n">
        <v>0</v>
      </c>
      <c r="E13" s="1" t="n">
        <v>0.629</v>
      </c>
      <c r="F13" s="1" t="n">
        <v>7.6</v>
      </c>
      <c r="G13" s="1" t="n">
        <v>53.8</v>
      </c>
      <c r="H13" s="1" t="n">
        <v>9</v>
      </c>
      <c r="I13" s="1" t="n">
        <v>72.8</v>
      </c>
      <c r="J13" s="1" t="n">
        <v>18.5</v>
      </c>
      <c r="K13" s="1" t="n">
        <v>67.6</v>
      </c>
      <c r="L13" s="1" t="n">
        <v>0.5062</v>
      </c>
      <c r="M13" s="1" t="n">
        <v>1</v>
      </c>
      <c r="N13" s="1" t="n">
        <v>0</v>
      </c>
      <c r="O13" s="59" t="n">
        <v>0</v>
      </c>
      <c r="P13" s="60" t="n">
        <v>4</v>
      </c>
      <c r="Q13" s="61" t="n">
        <v>20</v>
      </c>
      <c r="R13" s="1" t="n">
        <v>2.52</v>
      </c>
      <c r="S13" s="1" t="n">
        <v>0.734</v>
      </c>
      <c r="T13" s="1" t="n">
        <v>436</v>
      </c>
      <c r="U13" s="55"/>
      <c r="V13" s="57" t="n">
        <f aca="false">X13/Y13</f>
        <v>0.348973607038123</v>
      </c>
      <c r="W13" s="1" t="n">
        <f aca="false">N13*M13</f>
        <v>0</v>
      </c>
      <c r="X13" s="1" t="n">
        <v>11.9</v>
      </c>
      <c r="Y13" s="1" t="n">
        <v>34.1</v>
      </c>
      <c r="Z13" s="1" t="n">
        <f aca="false">I13-K13</f>
        <v>5.2</v>
      </c>
    </row>
    <row r="14" customFormat="false" ht="12.75" hidden="false" customHeight="false" outlineLevel="0" collapsed="false">
      <c r="A14" s="1" t="s">
        <v>86</v>
      </c>
      <c r="B14" s="1" t="n">
        <v>0</v>
      </c>
      <c r="C14" s="1" t="n">
        <v>0.31437</v>
      </c>
      <c r="D14" s="1" t="n">
        <v>3</v>
      </c>
      <c r="E14" s="1" t="n">
        <v>0.818</v>
      </c>
      <c r="F14" s="1" t="n">
        <v>13.1</v>
      </c>
      <c r="G14" s="1" t="n">
        <v>63.6</v>
      </c>
      <c r="H14" s="1" t="n">
        <v>8</v>
      </c>
      <c r="I14" s="1" t="n">
        <v>77.5</v>
      </c>
      <c r="J14" s="1" t="n">
        <v>17.7</v>
      </c>
      <c r="K14" s="1" t="n">
        <v>68.5</v>
      </c>
      <c r="L14" s="1" t="n">
        <v>0.5768</v>
      </c>
      <c r="M14" s="1" t="n">
        <v>0</v>
      </c>
      <c r="N14" s="1" t="n">
        <v>1</v>
      </c>
      <c r="O14" s="59" t="n">
        <v>8</v>
      </c>
      <c r="P14" s="60" t="n">
        <v>2</v>
      </c>
      <c r="Q14" s="61" t="n">
        <v>15</v>
      </c>
      <c r="R14" s="1" t="n">
        <v>18.08</v>
      </c>
      <c r="S14" s="1" t="n">
        <v>0.701</v>
      </c>
      <c r="T14" s="1" t="n">
        <v>402</v>
      </c>
      <c r="U14" s="55"/>
      <c r="V14" s="57" t="n">
        <f aca="false">X14/Y14</f>
        <v>0.325136612021858</v>
      </c>
      <c r="W14" s="1" t="n">
        <f aca="false">N14*M14</f>
        <v>0</v>
      </c>
      <c r="X14" s="1" t="n">
        <v>11.9</v>
      </c>
      <c r="Y14" s="1" t="n">
        <v>36.6</v>
      </c>
      <c r="Z14" s="1" t="n">
        <f aca="false">I14-K14</f>
        <v>9</v>
      </c>
    </row>
    <row r="15" customFormat="false" ht="12.75" hidden="false" customHeight="false" outlineLevel="0" collapsed="false">
      <c r="A15" s="1" t="s">
        <v>62</v>
      </c>
      <c r="B15" s="1" t="n">
        <v>3</v>
      </c>
      <c r="C15" s="1" t="n">
        <v>0.390802</v>
      </c>
      <c r="D15" s="1" t="n">
        <v>2</v>
      </c>
      <c r="E15" s="1" t="n">
        <v>0.697</v>
      </c>
      <c r="F15" s="1" t="n">
        <v>15.5</v>
      </c>
      <c r="G15" s="1" t="n">
        <v>42.8</v>
      </c>
      <c r="H15" s="1" t="n">
        <v>4</v>
      </c>
      <c r="I15" s="1" t="n">
        <v>76.3</v>
      </c>
      <c r="J15" s="1" t="n">
        <v>16.6</v>
      </c>
      <c r="K15" s="1" t="n">
        <v>66</v>
      </c>
      <c r="L15" s="1" t="n">
        <v>0.6014</v>
      </c>
      <c r="M15" s="1" t="n">
        <v>0</v>
      </c>
      <c r="N15" s="1" t="n">
        <v>1</v>
      </c>
      <c r="O15" s="59" t="n">
        <v>5</v>
      </c>
      <c r="P15" s="60" t="n">
        <v>4</v>
      </c>
      <c r="Q15" s="61" t="n">
        <v>15</v>
      </c>
      <c r="R15" s="1" t="n">
        <v>17.47</v>
      </c>
      <c r="S15" s="1" t="n">
        <v>0.713</v>
      </c>
      <c r="T15" s="1" t="n">
        <v>360</v>
      </c>
      <c r="U15" s="55"/>
      <c r="V15" s="57" t="n">
        <f aca="false">X15/Y15</f>
        <v>0.326704545454545</v>
      </c>
      <c r="W15" s="1" t="n">
        <f aca="false">N15*M15</f>
        <v>0</v>
      </c>
      <c r="X15" s="1" t="n">
        <v>11.5</v>
      </c>
      <c r="Y15" s="1" t="n">
        <v>35.2</v>
      </c>
      <c r="Z15" s="1" t="n">
        <f aca="false">I15-K15</f>
        <v>10.3</v>
      </c>
    </row>
    <row r="16" customFormat="false" ht="12.75" hidden="false" customHeight="false" outlineLevel="0" collapsed="false">
      <c r="A16" s="1" t="s">
        <v>392</v>
      </c>
      <c r="B16" s="1" t="n">
        <v>1</v>
      </c>
      <c r="C16" s="1" t="n">
        <v>0.257510729613734</v>
      </c>
      <c r="D16" s="1" t="n">
        <v>3</v>
      </c>
      <c r="E16" s="1" t="n">
        <v>0.727</v>
      </c>
      <c r="F16" s="1" t="n">
        <v>10.8</v>
      </c>
      <c r="G16" s="1" t="n">
        <v>66.6</v>
      </c>
      <c r="H16" s="1" t="n">
        <v>8</v>
      </c>
      <c r="I16" s="1" t="n">
        <v>70.3</v>
      </c>
      <c r="J16" s="1" t="n">
        <v>23.7</v>
      </c>
      <c r="K16" s="1" t="n">
        <v>62.9</v>
      </c>
      <c r="L16" s="1" t="n">
        <v>0.5382</v>
      </c>
      <c r="M16" s="1" t="n">
        <v>1</v>
      </c>
      <c r="N16" s="1" t="n">
        <v>1</v>
      </c>
      <c r="O16" s="59" t="n">
        <v>4</v>
      </c>
      <c r="P16" s="60" t="n">
        <v>4</v>
      </c>
      <c r="Q16" s="61" t="n">
        <v>21</v>
      </c>
      <c r="R16" s="1" t="n">
        <v>15.36</v>
      </c>
      <c r="S16" s="1" t="n">
        <v>0.707</v>
      </c>
      <c r="T16" s="1" t="n">
        <v>522</v>
      </c>
      <c r="U16" s="55"/>
      <c r="V16" s="57" t="n">
        <f aca="false">X16/Y16</f>
        <v>0.319783197831978</v>
      </c>
      <c r="W16" s="1" t="n">
        <f aca="false">N16*M16</f>
        <v>1</v>
      </c>
      <c r="X16" s="1" t="n">
        <v>11.8</v>
      </c>
      <c r="Y16" s="1" t="n">
        <v>36.9</v>
      </c>
      <c r="Z16" s="1" t="n">
        <f aca="false">I16-K16</f>
        <v>7.4</v>
      </c>
    </row>
    <row r="17" customFormat="false" ht="12.75" hidden="false" customHeight="false" outlineLevel="0" collapsed="false">
      <c r="A17" s="1" t="s">
        <v>246</v>
      </c>
      <c r="B17" s="1" t="n">
        <v>1</v>
      </c>
      <c r="C17" s="1" t="n">
        <v>0.242286</v>
      </c>
      <c r="D17" s="1" t="n">
        <v>2</v>
      </c>
      <c r="E17" s="1" t="n">
        <v>0.742</v>
      </c>
      <c r="F17" s="1" t="n">
        <v>15.4</v>
      </c>
      <c r="G17" s="1" t="n">
        <v>55.5</v>
      </c>
      <c r="H17" s="1" t="n">
        <v>6</v>
      </c>
      <c r="I17" s="1" t="n">
        <v>69.1</v>
      </c>
      <c r="J17" s="1" t="n">
        <v>19.7</v>
      </c>
      <c r="K17" s="1" t="n">
        <v>59.2</v>
      </c>
      <c r="L17" s="1" t="n">
        <v>0.6186</v>
      </c>
      <c r="M17" s="1" t="n">
        <v>0</v>
      </c>
      <c r="N17" s="1" t="n">
        <v>1</v>
      </c>
      <c r="O17" s="59" t="n">
        <v>7</v>
      </c>
      <c r="P17" s="62" t="n">
        <v>9</v>
      </c>
      <c r="Q17" s="61" t="n">
        <v>15</v>
      </c>
      <c r="R17" s="1" t="n">
        <v>16.92</v>
      </c>
      <c r="S17" s="1" t="n">
        <v>0.697</v>
      </c>
      <c r="T17" s="1" t="n">
        <v>393</v>
      </c>
      <c r="U17" s="55"/>
      <c r="V17" s="57" t="n">
        <f aca="false">X17/Y17</f>
        <v>0.313186813186813</v>
      </c>
      <c r="W17" s="1" t="n">
        <f aca="false">N17*M17</f>
        <v>0</v>
      </c>
      <c r="X17" s="1" t="n">
        <v>11.4</v>
      </c>
      <c r="Y17" s="1" t="n">
        <v>36.4</v>
      </c>
      <c r="Z17" s="1" t="n">
        <f aca="false">I17-K17</f>
        <v>9.89999999999999</v>
      </c>
    </row>
    <row r="18" customFormat="false" ht="12.75" hidden="false" customHeight="false" outlineLevel="0" collapsed="false">
      <c r="A18" s="1" t="s">
        <v>43</v>
      </c>
      <c r="B18" s="1" t="n">
        <v>1</v>
      </c>
      <c r="C18" s="1" t="n">
        <v>0.258936</v>
      </c>
      <c r="D18" s="1" t="n">
        <v>3</v>
      </c>
      <c r="E18" s="1" t="n">
        <v>0.806</v>
      </c>
      <c r="F18" s="1" t="n">
        <v>16</v>
      </c>
      <c r="G18" s="1" t="n">
        <v>33.3</v>
      </c>
      <c r="H18" s="1" t="n">
        <v>8</v>
      </c>
      <c r="I18" s="1" t="n">
        <v>74</v>
      </c>
      <c r="J18" s="1" t="n">
        <v>19.9</v>
      </c>
      <c r="K18" s="1" t="n">
        <v>63.2</v>
      </c>
      <c r="L18" s="1" t="n">
        <v>0.5299</v>
      </c>
      <c r="M18" s="1" t="n">
        <v>0</v>
      </c>
      <c r="N18" s="1" t="n">
        <v>0</v>
      </c>
      <c r="O18" s="1" t="n">
        <v>2</v>
      </c>
      <c r="P18" s="63" t="n">
        <v>2</v>
      </c>
      <c r="Q18" s="1" t="n">
        <v>13</v>
      </c>
      <c r="R18" s="1" t="n">
        <v>13.21</v>
      </c>
      <c r="S18" s="1" t="n">
        <v>0.715</v>
      </c>
      <c r="T18" s="1" t="n">
        <v>414</v>
      </c>
      <c r="V18" s="57" t="n">
        <f aca="false">X18/Y18</f>
        <v>0.296495956873315</v>
      </c>
      <c r="W18" s="1" t="n">
        <f aca="false">N18*M18</f>
        <v>0</v>
      </c>
      <c r="X18" s="1" t="n">
        <v>11</v>
      </c>
      <c r="Y18" s="1" t="n">
        <v>37.1</v>
      </c>
      <c r="Z18" s="1" t="n">
        <f aca="false">I18-K18</f>
        <v>10.8</v>
      </c>
    </row>
    <row r="19" customFormat="false" ht="12.75" hidden="false" customHeight="false" outlineLevel="0" collapsed="false">
      <c r="A19" s="1" t="s">
        <v>249</v>
      </c>
      <c r="B19" s="1" t="n">
        <v>0</v>
      </c>
      <c r="C19" s="1" t="n">
        <v>0.269113149847095</v>
      </c>
      <c r="D19" s="1" t="n">
        <v>0</v>
      </c>
      <c r="E19" s="1" t="n">
        <v>0.867</v>
      </c>
      <c r="F19" s="1" t="n">
        <v>17.4</v>
      </c>
      <c r="G19" s="1" t="n">
        <v>85.7</v>
      </c>
      <c r="H19" s="1" t="n">
        <v>8</v>
      </c>
      <c r="I19" s="1" t="n">
        <v>65.4</v>
      </c>
      <c r="J19" s="1" t="n">
        <v>20.2</v>
      </c>
      <c r="K19" s="1" t="n">
        <v>54.8</v>
      </c>
      <c r="L19" s="1" t="n">
        <v>0.5083</v>
      </c>
      <c r="M19" s="1" t="n">
        <v>1</v>
      </c>
      <c r="N19" s="1" t="n">
        <v>0</v>
      </c>
      <c r="O19" s="1" t="n">
        <v>2</v>
      </c>
      <c r="P19" s="1" t="n">
        <v>1</v>
      </c>
      <c r="Q19" s="1" t="n">
        <v>19</v>
      </c>
      <c r="R19" s="1" t="n">
        <v>8.14</v>
      </c>
      <c r="S19" s="1" t="n">
        <v>0.746</v>
      </c>
      <c r="T19" s="1" t="n">
        <v>369</v>
      </c>
      <c r="V19" s="57" t="n">
        <f aca="false">X19/Y19</f>
        <v>0.260736196319018</v>
      </c>
      <c r="W19" s="1" t="n">
        <f aca="false">N19*M19</f>
        <v>0</v>
      </c>
      <c r="X19" s="1" t="n">
        <v>8.5</v>
      </c>
      <c r="Y19" s="1" t="n">
        <v>32.6</v>
      </c>
      <c r="Z19" s="1" t="n">
        <f aca="false">I19-K19</f>
        <v>10.6</v>
      </c>
    </row>
    <row r="20" customFormat="false" ht="12.75" hidden="false" customHeight="false" outlineLevel="0" collapsed="false">
      <c r="A20" s="1" t="s">
        <v>190</v>
      </c>
      <c r="B20" s="1" t="n">
        <v>2</v>
      </c>
      <c r="C20" s="1" t="n">
        <v>0.248148</v>
      </c>
      <c r="D20" s="1" t="n">
        <v>0</v>
      </c>
      <c r="E20" s="1" t="n">
        <v>0.758</v>
      </c>
      <c r="F20" s="1" t="n">
        <v>17.5</v>
      </c>
      <c r="G20" s="1" t="n">
        <v>66.6</v>
      </c>
      <c r="H20" s="1" t="n">
        <v>8</v>
      </c>
      <c r="I20" s="1" t="n">
        <v>77.3</v>
      </c>
      <c r="J20" s="1" t="n">
        <v>19.1</v>
      </c>
      <c r="K20" s="1" t="n">
        <v>65.5</v>
      </c>
      <c r="L20" s="1" t="n">
        <v>0.5523</v>
      </c>
      <c r="M20" s="1" t="n">
        <v>0</v>
      </c>
      <c r="N20" s="1" t="n">
        <v>1</v>
      </c>
      <c r="O20" s="1" t="n">
        <v>6</v>
      </c>
      <c r="P20" s="1" t="n">
        <v>5</v>
      </c>
      <c r="Q20" s="1" t="n">
        <v>18</v>
      </c>
      <c r="R20" s="1" t="n">
        <v>19.31</v>
      </c>
      <c r="S20" s="1" t="n">
        <v>0.762</v>
      </c>
      <c r="T20" s="1" t="n">
        <v>421</v>
      </c>
      <c r="U20" s="1" t="n">
        <v>15259</v>
      </c>
      <c r="V20" s="57" t="n">
        <f aca="false">X20/Y20</f>
        <v>0.30945558739255</v>
      </c>
      <c r="W20" s="1" t="n">
        <f aca="false">N20*M20</f>
        <v>0</v>
      </c>
      <c r="X20" s="1" t="n">
        <v>10.8</v>
      </c>
      <c r="Y20" s="1" t="n">
        <v>34.9</v>
      </c>
      <c r="Z20" s="1" t="n">
        <f aca="false">I20-K20</f>
        <v>11.8</v>
      </c>
    </row>
    <row r="21" customFormat="false" ht="12.75" hidden="false" customHeight="false" outlineLevel="0" collapsed="false">
      <c r="A21" s="1" t="s">
        <v>87</v>
      </c>
      <c r="B21" s="1" t="n">
        <v>-1</v>
      </c>
      <c r="C21" s="1" t="n">
        <v>0.263307</v>
      </c>
      <c r="D21" s="1" t="n">
        <v>0</v>
      </c>
      <c r="E21" s="1" t="n">
        <v>0.781</v>
      </c>
      <c r="F21" s="1" t="n">
        <v>14.9</v>
      </c>
      <c r="G21" s="1" t="n">
        <v>57.1</v>
      </c>
      <c r="H21" s="1" t="n">
        <v>8</v>
      </c>
      <c r="I21" s="1" t="n">
        <v>83.2</v>
      </c>
      <c r="J21" s="1" t="n">
        <v>17.2</v>
      </c>
      <c r="K21" s="1" t="n">
        <v>72.6</v>
      </c>
      <c r="L21" s="1" t="n">
        <v>0.5176</v>
      </c>
      <c r="M21" s="1" t="n">
        <v>0</v>
      </c>
      <c r="N21" s="1" t="n">
        <v>0</v>
      </c>
      <c r="O21" s="1" t="n">
        <v>2</v>
      </c>
      <c r="P21" s="1" t="n">
        <v>2</v>
      </c>
      <c r="Q21" s="1" t="n">
        <v>19</v>
      </c>
      <c r="R21" s="1" t="n">
        <v>8.52</v>
      </c>
      <c r="S21" s="1" t="n">
        <v>0.716</v>
      </c>
      <c r="T21" s="1" t="n">
        <v>396</v>
      </c>
      <c r="V21" s="57" t="n">
        <f aca="false">X21/Y21</f>
        <v>0.310344827586207</v>
      </c>
      <c r="W21" s="1" t="n">
        <f aca="false">N21*M21</f>
        <v>0</v>
      </c>
      <c r="X21" s="1" t="n">
        <v>10.8</v>
      </c>
      <c r="Y21" s="1" t="n">
        <v>34.8</v>
      </c>
      <c r="Z21" s="1" t="n">
        <f aca="false">I21-K21</f>
        <v>10.6</v>
      </c>
    </row>
    <row r="22" customFormat="false" ht="12.75" hidden="false" customHeight="false" outlineLevel="0" collapsed="false">
      <c r="A22" s="1" t="s">
        <v>192</v>
      </c>
      <c r="B22" s="1" t="n">
        <v>1</v>
      </c>
      <c r="C22" s="1" t="n">
        <v>0.36373</v>
      </c>
      <c r="D22" s="1" t="n">
        <v>0</v>
      </c>
      <c r="E22" s="1" t="n">
        <v>0.688</v>
      </c>
      <c r="F22" s="1" t="n">
        <v>9.5</v>
      </c>
      <c r="G22" s="1" t="n">
        <v>80</v>
      </c>
      <c r="H22" s="1" t="n">
        <v>6</v>
      </c>
      <c r="I22" s="1" t="n">
        <v>73.2</v>
      </c>
      <c r="J22" s="1" t="n">
        <v>18.5</v>
      </c>
      <c r="K22" s="1" t="n">
        <v>66.7</v>
      </c>
      <c r="L22" s="1" t="n">
        <v>0.5383</v>
      </c>
      <c r="M22" s="1" t="n">
        <v>0</v>
      </c>
      <c r="N22" s="1" t="n">
        <v>1</v>
      </c>
      <c r="O22" s="1" t="n">
        <v>6</v>
      </c>
      <c r="P22" s="1" t="n">
        <v>6</v>
      </c>
      <c r="Q22" s="1" t="n">
        <v>18</v>
      </c>
      <c r="R22" s="1" t="n">
        <v>13.6</v>
      </c>
      <c r="S22" s="1" t="n">
        <v>0.716</v>
      </c>
      <c r="T22" s="1" t="n">
        <v>401</v>
      </c>
      <c r="V22" s="57" t="n">
        <f aca="false">X22/Y22</f>
        <v>0.294277929155313</v>
      </c>
      <c r="W22" s="1" t="n">
        <f aca="false">N22*M22</f>
        <v>0</v>
      </c>
      <c r="X22" s="1" t="n">
        <v>10.8</v>
      </c>
      <c r="Y22" s="1" t="n">
        <v>36.7</v>
      </c>
      <c r="Z22" s="1" t="n">
        <f aca="false">I22-K22</f>
        <v>6.5</v>
      </c>
    </row>
    <row r="23" customFormat="false" ht="12.75" hidden="false" customHeight="false" outlineLevel="0" collapsed="false">
      <c r="A23" s="1" t="s">
        <v>71</v>
      </c>
      <c r="B23" s="1" t="n">
        <v>5</v>
      </c>
      <c r="C23" s="1" t="n">
        <v>0.24</v>
      </c>
      <c r="D23" s="1" t="n">
        <v>3</v>
      </c>
      <c r="E23" s="1" t="n">
        <v>0.818</v>
      </c>
      <c r="F23" s="1" t="n">
        <v>19.3</v>
      </c>
      <c r="G23" s="1" t="n">
        <v>75</v>
      </c>
      <c r="H23" s="1" t="n">
        <v>9</v>
      </c>
      <c r="I23" s="1" t="n">
        <v>75</v>
      </c>
      <c r="J23" s="1" t="n">
        <v>19.6</v>
      </c>
      <c r="K23" s="1" t="n">
        <v>61.9</v>
      </c>
      <c r="L23" s="1" t="n">
        <v>0.594</v>
      </c>
      <c r="M23" s="1" t="n">
        <v>0</v>
      </c>
      <c r="N23" s="1" t="n">
        <v>1</v>
      </c>
      <c r="O23" s="1" t="n">
        <v>11</v>
      </c>
      <c r="P23" s="1" t="n">
        <v>5</v>
      </c>
      <c r="Q23" s="1" t="n">
        <v>20</v>
      </c>
      <c r="R23" s="1" t="n">
        <v>15.27</v>
      </c>
      <c r="S23" s="1" t="n">
        <v>0.696</v>
      </c>
      <c r="T23" s="1" t="n">
        <v>437</v>
      </c>
      <c r="U23" s="1" t="n">
        <v>16436</v>
      </c>
      <c r="V23" s="57" t="n">
        <f aca="false">X23/Y23</f>
        <v>0.300813008130081</v>
      </c>
      <c r="W23" s="1" t="n">
        <f aca="false">N23*M23</f>
        <v>0</v>
      </c>
      <c r="X23" s="1" t="n">
        <v>11.1</v>
      </c>
      <c r="Y23" s="1" t="n">
        <v>36.9</v>
      </c>
      <c r="Z23" s="1" t="n">
        <f aca="false">I23-K23</f>
        <v>13.1</v>
      </c>
    </row>
    <row r="24" customFormat="false" ht="12.75" hidden="false" customHeight="false" outlineLevel="0" collapsed="false">
      <c r="A24" s="1" t="s">
        <v>322</v>
      </c>
      <c r="B24" s="1" t="n">
        <v>1</v>
      </c>
      <c r="C24" s="1" t="n">
        <v>0.239902</v>
      </c>
      <c r="D24" s="1" t="n">
        <v>2</v>
      </c>
      <c r="E24" s="1" t="n">
        <v>0.677</v>
      </c>
      <c r="F24" s="1" t="n">
        <v>11.4</v>
      </c>
      <c r="G24" s="1" t="n">
        <v>44.4</v>
      </c>
      <c r="H24" s="1" t="n">
        <v>5</v>
      </c>
      <c r="I24" s="1" t="n">
        <v>71.4</v>
      </c>
      <c r="J24" s="1" t="n">
        <v>21.3</v>
      </c>
      <c r="K24" s="1" t="n">
        <v>63.7</v>
      </c>
      <c r="L24" s="1" t="n">
        <v>0.5935</v>
      </c>
      <c r="M24" s="1" t="n">
        <v>0</v>
      </c>
      <c r="N24" s="1" t="n">
        <v>1</v>
      </c>
      <c r="O24" s="1" t="n">
        <v>6</v>
      </c>
      <c r="P24" s="1" t="n">
        <v>7</v>
      </c>
      <c r="Q24" s="1" t="n">
        <v>16</v>
      </c>
      <c r="R24" s="1" t="n">
        <v>15.27</v>
      </c>
      <c r="S24" s="1" t="n">
        <v>0.666</v>
      </c>
      <c r="T24" s="1" t="n">
        <v>449</v>
      </c>
      <c r="V24" s="57" t="n">
        <f aca="false">X24/Y24</f>
        <v>0.380697050938338</v>
      </c>
      <c r="W24" s="1" t="n">
        <f aca="false">N24*M24</f>
        <v>0</v>
      </c>
      <c r="X24" s="1" t="n">
        <v>14.2</v>
      </c>
      <c r="Y24" s="1" t="n">
        <v>37.3</v>
      </c>
      <c r="Z24" s="1" t="n">
        <f aca="false">I24-K24</f>
        <v>7.7</v>
      </c>
    </row>
    <row r="25" customFormat="false" ht="12.75" hidden="false" customHeight="false" outlineLevel="0" collapsed="false">
      <c r="A25" s="1" t="s">
        <v>24</v>
      </c>
      <c r="B25" s="1" t="n">
        <v>6</v>
      </c>
      <c r="C25" s="1" t="n">
        <v>0.222851</v>
      </c>
      <c r="D25" s="1" t="n">
        <v>2</v>
      </c>
      <c r="E25" s="1" t="n">
        <v>0.941</v>
      </c>
      <c r="F25" s="1" t="n">
        <v>26.8</v>
      </c>
      <c r="G25" s="1" t="n">
        <v>75</v>
      </c>
      <c r="H25" s="1" t="n">
        <v>9</v>
      </c>
      <c r="I25" s="1" t="n">
        <v>76.7</v>
      </c>
      <c r="J25" s="1" t="n">
        <v>17.2</v>
      </c>
      <c r="K25" s="1" t="n">
        <v>59</v>
      </c>
      <c r="L25" s="1" t="n">
        <v>0.5953</v>
      </c>
      <c r="M25" s="1" t="n">
        <v>1</v>
      </c>
      <c r="N25" s="1" t="n">
        <v>1</v>
      </c>
      <c r="O25" s="1" t="n">
        <v>10</v>
      </c>
      <c r="P25" s="1" t="n">
        <v>1</v>
      </c>
      <c r="Q25" s="1" t="n">
        <v>11</v>
      </c>
      <c r="R25" s="1" t="n">
        <v>24.73</v>
      </c>
      <c r="S25" s="1" t="n">
        <v>0.723</v>
      </c>
      <c r="T25" s="1" t="n">
        <v>378</v>
      </c>
      <c r="U25" s="1" t="n">
        <v>23603</v>
      </c>
      <c r="V25" s="57" t="n">
        <f aca="false">X25/Y25</f>
        <v>0.316326530612245</v>
      </c>
      <c r="W25" s="1" t="n">
        <f aca="false">N25*M25</f>
        <v>1</v>
      </c>
      <c r="X25" s="1" t="n">
        <v>12.4</v>
      </c>
      <c r="Y25" s="1" t="n">
        <v>39.2</v>
      </c>
      <c r="Z25" s="1" t="n">
        <f aca="false">I25-K25</f>
        <v>17.7</v>
      </c>
    </row>
    <row r="26" customFormat="false" ht="12.75" hidden="false" customHeight="false" outlineLevel="0" collapsed="false">
      <c r="A26" s="1" t="s">
        <v>393</v>
      </c>
      <c r="B26" s="1" t="n">
        <v>-1</v>
      </c>
      <c r="C26" s="1" t="n">
        <v>0.177804295942721</v>
      </c>
      <c r="D26" s="1" t="n">
        <v>0</v>
      </c>
      <c r="E26" s="1" t="n">
        <v>0.676</v>
      </c>
      <c r="F26" s="1" t="n">
        <v>12.3</v>
      </c>
      <c r="G26" s="1" t="n">
        <v>20</v>
      </c>
      <c r="H26" s="1" t="n">
        <v>7</v>
      </c>
      <c r="I26" s="1" t="n">
        <v>73.9</v>
      </c>
      <c r="J26" s="1" t="n">
        <v>17.5</v>
      </c>
      <c r="K26" s="1" t="n">
        <v>65.4</v>
      </c>
      <c r="L26" s="1" t="n">
        <v>0.438</v>
      </c>
      <c r="M26" s="1" t="n">
        <v>1</v>
      </c>
      <c r="N26" s="1" t="n">
        <v>0</v>
      </c>
      <c r="O26" s="1" t="n">
        <v>0</v>
      </c>
      <c r="P26" s="1" t="n">
        <v>4</v>
      </c>
      <c r="Q26" s="1" t="n">
        <v>23</v>
      </c>
      <c r="R26" s="1" t="n">
        <v>3.22</v>
      </c>
      <c r="S26" s="1" t="n">
        <v>0.721</v>
      </c>
      <c r="T26" s="1" t="n">
        <v>411</v>
      </c>
      <c r="V26" s="57" t="n">
        <f aca="false">X26/Y26</f>
        <v>0.356060606060606</v>
      </c>
      <c r="W26" s="1" t="n">
        <f aca="false">N26*M26</f>
        <v>0</v>
      </c>
      <c r="X26" s="1" t="n">
        <v>14.1</v>
      </c>
      <c r="Y26" s="1" t="n">
        <v>39.6</v>
      </c>
      <c r="Z26" s="1" t="n">
        <f aca="false">I26-K26</f>
        <v>8.5</v>
      </c>
    </row>
    <row r="27" customFormat="false" ht="12.75" hidden="false" customHeight="false" outlineLevel="0" collapsed="false">
      <c r="A27" s="1" t="s">
        <v>394</v>
      </c>
      <c r="B27" s="1" t="n">
        <v>1</v>
      </c>
      <c r="C27" s="1" t="n">
        <v>0.292293</v>
      </c>
      <c r="D27" s="1" t="n">
        <v>1</v>
      </c>
      <c r="E27" s="1" t="n">
        <v>0.788</v>
      </c>
      <c r="F27" s="1" t="n">
        <v>16.2</v>
      </c>
      <c r="G27" s="1" t="n">
        <v>66.6</v>
      </c>
      <c r="H27" s="1" t="n">
        <v>9</v>
      </c>
      <c r="I27" s="1" t="n">
        <v>76.2</v>
      </c>
      <c r="J27" s="1" t="n">
        <v>16.6</v>
      </c>
      <c r="K27" s="1" t="n">
        <v>65.1</v>
      </c>
      <c r="L27" s="1" t="n">
        <v>0.4547</v>
      </c>
      <c r="M27" s="1" t="n">
        <v>1</v>
      </c>
      <c r="N27" s="1" t="n">
        <v>0</v>
      </c>
      <c r="O27" s="1" t="n">
        <v>0</v>
      </c>
      <c r="P27" s="1" t="n">
        <v>2</v>
      </c>
      <c r="Q27" s="1" t="n">
        <v>19</v>
      </c>
      <c r="R27" s="1" t="n">
        <v>4.08</v>
      </c>
      <c r="S27" s="1" t="n">
        <v>0.776</v>
      </c>
      <c r="T27" s="1" t="n">
        <v>375</v>
      </c>
      <c r="V27" s="57" t="n">
        <f aca="false">X27/Y27</f>
        <v>0.306406685236769</v>
      </c>
      <c r="W27" s="1" t="n">
        <f aca="false">N27*M27</f>
        <v>0</v>
      </c>
      <c r="X27" s="1" t="n">
        <v>11</v>
      </c>
      <c r="Y27" s="1" t="n">
        <v>35.9</v>
      </c>
      <c r="Z27" s="1" t="n">
        <f aca="false">I27-K27</f>
        <v>11.1</v>
      </c>
    </row>
    <row r="28" customFormat="false" ht="12.75" hidden="false" customHeight="false" outlineLevel="0" collapsed="false">
      <c r="A28" s="1" t="s">
        <v>395</v>
      </c>
      <c r="B28" s="1" t="n">
        <v>0</v>
      </c>
      <c r="C28" s="1" t="n">
        <v>0.24087</v>
      </c>
      <c r="D28" s="1" t="n">
        <v>1</v>
      </c>
      <c r="E28" s="1" t="n">
        <v>0.758</v>
      </c>
      <c r="F28" s="1" t="n">
        <v>6</v>
      </c>
      <c r="G28" s="1" t="n">
        <v>100</v>
      </c>
      <c r="H28" s="1" t="n">
        <v>9</v>
      </c>
      <c r="I28" s="1" t="n">
        <v>81.9</v>
      </c>
      <c r="J28" s="1" t="n">
        <v>21.5</v>
      </c>
      <c r="K28" s="1" t="n">
        <v>77.3</v>
      </c>
      <c r="L28" s="1" t="n">
        <v>0.4594</v>
      </c>
      <c r="M28" s="1" t="n">
        <v>1</v>
      </c>
      <c r="N28" s="1" t="n">
        <v>0</v>
      </c>
      <c r="O28" s="1" t="n">
        <v>1</v>
      </c>
      <c r="P28" s="1" t="n">
        <v>2</v>
      </c>
      <c r="Q28" s="1" t="n">
        <v>19</v>
      </c>
      <c r="R28" s="1" t="n">
        <v>-1.28</v>
      </c>
      <c r="S28" s="1" t="n">
        <v>0.731</v>
      </c>
      <c r="T28" s="1" t="n">
        <v>534</v>
      </c>
      <c r="V28" s="57" t="n">
        <f aca="false">X28/Y28</f>
        <v>0.308290155440414</v>
      </c>
      <c r="W28" s="1" t="n">
        <f aca="false">N28*M28</f>
        <v>0</v>
      </c>
      <c r="X28" s="1" t="n">
        <v>11.9</v>
      </c>
      <c r="Y28" s="1" t="n">
        <v>38.6</v>
      </c>
      <c r="Z28" s="1" t="n">
        <f aca="false">I28-K28</f>
        <v>4.60000000000001</v>
      </c>
    </row>
    <row r="29" customFormat="false" ht="12.75" hidden="false" customHeight="false" outlineLevel="0" collapsed="false">
      <c r="A29" s="1" t="s">
        <v>396</v>
      </c>
      <c r="B29" s="1" t="n">
        <v>0</v>
      </c>
      <c r="C29" s="1" t="n">
        <v>0.266585</v>
      </c>
      <c r="D29" s="1" t="n">
        <v>0</v>
      </c>
      <c r="E29" s="1" t="n">
        <v>0.758</v>
      </c>
      <c r="F29" s="1" t="n">
        <v>15.4</v>
      </c>
      <c r="G29" s="1" t="n">
        <v>33.3</v>
      </c>
      <c r="H29" s="1" t="n">
        <v>8</v>
      </c>
      <c r="I29" s="1" t="n">
        <v>74</v>
      </c>
      <c r="J29" s="1" t="n">
        <v>19</v>
      </c>
      <c r="K29" s="1" t="n">
        <v>63.6</v>
      </c>
      <c r="L29" s="1" t="n">
        <v>0.5049</v>
      </c>
      <c r="M29" s="1" t="n">
        <v>1</v>
      </c>
      <c r="N29" s="1" t="n">
        <v>0</v>
      </c>
      <c r="O29" s="1" t="n">
        <v>2</v>
      </c>
      <c r="P29" s="1" t="n">
        <v>7</v>
      </c>
      <c r="Q29" s="1" t="n">
        <v>20</v>
      </c>
      <c r="R29" s="1" t="n">
        <v>9.89</v>
      </c>
      <c r="S29" s="1" t="n">
        <v>0.671</v>
      </c>
      <c r="T29" s="1" t="n">
        <v>425</v>
      </c>
      <c r="V29" s="57" t="n">
        <f aca="false">X29/Y29</f>
        <v>0.320224719101124</v>
      </c>
      <c r="W29" s="1" t="n">
        <f aca="false">N29*M29</f>
        <v>0</v>
      </c>
      <c r="X29" s="1" t="n">
        <v>11.4</v>
      </c>
      <c r="Y29" s="1" t="n">
        <v>35.6</v>
      </c>
      <c r="Z29" s="1" t="n">
        <f aca="false">I29-K29</f>
        <v>10.4</v>
      </c>
    </row>
    <row r="30" customFormat="false" ht="12.75" hidden="false" customHeight="false" outlineLevel="0" collapsed="false">
      <c r="A30" s="1" t="s">
        <v>109</v>
      </c>
      <c r="B30" s="1" t="n">
        <v>4</v>
      </c>
      <c r="C30" s="1" t="n">
        <v>0.256645</v>
      </c>
      <c r="D30" s="1" t="n">
        <v>3</v>
      </c>
      <c r="E30" s="1" t="n">
        <v>0.743</v>
      </c>
      <c r="F30" s="1" t="n">
        <v>11.2</v>
      </c>
      <c r="G30" s="1" t="n">
        <v>55.5</v>
      </c>
      <c r="H30" s="1" t="n">
        <v>6</v>
      </c>
      <c r="I30" s="1" t="n">
        <v>68.8</v>
      </c>
      <c r="J30" s="1" t="n">
        <v>21.4</v>
      </c>
      <c r="K30" s="1" t="n">
        <v>61.2</v>
      </c>
      <c r="L30" s="1" t="n">
        <v>0.5897</v>
      </c>
      <c r="M30" s="1" t="n">
        <v>1</v>
      </c>
      <c r="N30" s="1" t="n">
        <v>1</v>
      </c>
      <c r="O30" s="1" t="n">
        <v>8</v>
      </c>
      <c r="P30" s="1" t="n">
        <v>7</v>
      </c>
      <c r="Q30" s="1" t="n">
        <v>16</v>
      </c>
      <c r="R30" s="1" t="n">
        <v>15.63</v>
      </c>
      <c r="S30" s="1" t="n">
        <v>0.686</v>
      </c>
      <c r="T30" s="1" t="n">
        <v>562</v>
      </c>
      <c r="U30" s="1" t="n">
        <v>21832</v>
      </c>
      <c r="V30" s="57" t="n">
        <f aca="false">X30/Y30</f>
        <v>0.342931937172775</v>
      </c>
      <c r="W30" s="1" t="n">
        <f aca="false">N30*M30</f>
        <v>1</v>
      </c>
      <c r="X30" s="1" t="n">
        <v>13.1</v>
      </c>
      <c r="Y30" s="1" t="n">
        <v>38.2</v>
      </c>
      <c r="Z30" s="1" t="n">
        <f aca="false">I30-K30</f>
        <v>7.59999999999999</v>
      </c>
    </row>
    <row r="31" customFormat="false" ht="12.75" hidden="false" customHeight="false" outlineLevel="0" collapsed="false">
      <c r="A31" s="1" t="s">
        <v>397</v>
      </c>
      <c r="B31" s="1" t="n">
        <v>0</v>
      </c>
      <c r="C31" s="1" t="n">
        <v>0.221893</v>
      </c>
      <c r="D31" s="1" t="n">
        <v>0</v>
      </c>
      <c r="E31" s="1" t="n">
        <v>0.75</v>
      </c>
      <c r="F31" s="1" t="n">
        <v>5.8</v>
      </c>
      <c r="G31" s="1" t="n">
        <v>75</v>
      </c>
      <c r="H31" s="1" t="n">
        <v>7</v>
      </c>
      <c r="I31" s="1" t="n">
        <v>67.6</v>
      </c>
      <c r="J31" s="1" t="n">
        <v>20.7</v>
      </c>
      <c r="K31" s="1" t="n">
        <v>63.8</v>
      </c>
      <c r="L31" s="1" t="n">
        <v>0.4873</v>
      </c>
      <c r="M31" s="1" t="n">
        <v>1</v>
      </c>
      <c r="N31" s="1" t="n">
        <v>0</v>
      </c>
      <c r="O31" s="1" t="n">
        <v>1</v>
      </c>
      <c r="P31" s="1" t="n">
        <v>3</v>
      </c>
      <c r="Q31" s="1" t="n">
        <v>15</v>
      </c>
      <c r="R31" s="1" t="n">
        <v>0.26</v>
      </c>
      <c r="S31" s="1" t="n">
        <v>0.718</v>
      </c>
      <c r="T31" s="1" t="n">
        <v>443</v>
      </c>
      <c r="V31" s="57" t="n">
        <f aca="false">X31/Y31</f>
        <v>0.376770538243626</v>
      </c>
      <c r="W31" s="1" t="n">
        <f aca="false">N31*M31</f>
        <v>0</v>
      </c>
      <c r="X31" s="1" t="n">
        <v>13.3</v>
      </c>
      <c r="Y31" s="1" t="n">
        <v>35.3</v>
      </c>
      <c r="Z31" s="1" t="n">
        <f aca="false">I31-K31</f>
        <v>3.8</v>
      </c>
    </row>
    <row r="32" customFormat="false" ht="12.75" hidden="false" customHeight="false" outlineLevel="0" collapsed="false">
      <c r="A32" s="1" t="s">
        <v>110</v>
      </c>
      <c r="B32" s="1" t="n">
        <v>2</v>
      </c>
      <c r="C32" s="1" t="n">
        <v>0.224802</v>
      </c>
      <c r="D32" s="1" t="n">
        <v>3</v>
      </c>
      <c r="E32" s="1" t="n">
        <v>0.781</v>
      </c>
      <c r="F32" s="1" t="n">
        <v>13.8</v>
      </c>
      <c r="G32" s="1" t="n">
        <v>85.7</v>
      </c>
      <c r="H32" s="1" t="n">
        <v>7</v>
      </c>
      <c r="I32" s="1" t="n">
        <v>75.9</v>
      </c>
      <c r="J32" s="1" t="n">
        <v>18.8</v>
      </c>
      <c r="K32" s="1" t="n">
        <v>66.2</v>
      </c>
      <c r="L32" s="1" t="n">
        <v>0.5726</v>
      </c>
      <c r="M32" s="1" t="n">
        <v>0</v>
      </c>
      <c r="N32" s="1" t="n">
        <v>1</v>
      </c>
      <c r="O32" s="1" t="n">
        <v>8</v>
      </c>
      <c r="P32" s="1" t="n">
        <v>5</v>
      </c>
      <c r="Q32" s="1" t="n">
        <v>16</v>
      </c>
      <c r="R32" s="1" t="n">
        <v>16.83</v>
      </c>
      <c r="S32" s="1" t="n">
        <v>0.721</v>
      </c>
      <c r="T32" s="1" t="n">
        <v>461</v>
      </c>
      <c r="U32" s="1" t="n">
        <v>15586</v>
      </c>
      <c r="V32" s="57" t="n">
        <f aca="false">X32/Y32</f>
        <v>0.329888268156425</v>
      </c>
      <c r="W32" s="1" t="n">
        <f aca="false">N32*M32</f>
        <v>0</v>
      </c>
      <c r="X32" s="1" t="n">
        <v>11.81</v>
      </c>
      <c r="Y32" s="1" t="n">
        <v>35.8</v>
      </c>
      <c r="Z32" s="1" t="n">
        <f aca="false">I32-K32</f>
        <v>9.7</v>
      </c>
    </row>
    <row r="33" customFormat="false" ht="12.75" hidden="false" customHeight="false" outlineLevel="0" collapsed="false">
      <c r="A33" s="1" t="s">
        <v>325</v>
      </c>
      <c r="B33" s="1" t="n">
        <v>0</v>
      </c>
      <c r="C33" s="1" t="n">
        <v>0.214436</v>
      </c>
      <c r="D33" s="1" t="n">
        <v>2</v>
      </c>
      <c r="E33" s="1" t="n">
        <v>0.727</v>
      </c>
      <c r="F33" s="1" t="n">
        <v>17.8</v>
      </c>
      <c r="G33" s="1" t="n">
        <v>44.4</v>
      </c>
      <c r="H33" s="1" t="n">
        <v>9</v>
      </c>
      <c r="I33" s="1" t="n">
        <v>75.3</v>
      </c>
      <c r="J33" s="1" t="n">
        <v>18.7</v>
      </c>
      <c r="K33" s="1" t="n">
        <v>63.1</v>
      </c>
      <c r="L33" s="1" t="n">
        <v>0.5561</v>
      </c>
      <c r="M33" s="1" t="n">
        <v>1</v>
      </c>
      <c r="N33" s="1" t="n">
        <v>0</v>
      </c>
      <c r="O33" s="1" t="n">
        <v>3</v>
      </c>
      <c r="P33" s="1" t="n">
        <v>6</v>
      </c>
      <c r="Q33" s="1" t="n">
        <v>14</v>
      </c>
      <c r="R33" s="1" t="n">
        <v>17.54</v>
      </c>
      <c r="S33" s="1" t="n">
        <v>0.72</v>
      </c>
      <c r="T33" s="1" t="n">
        <v>444</v>
      </c>
      <c r="U33" s="1" t="n">
        <v>16768</v>
      </c>
      <c r="V33" s="57" t="n">
        <f aca="false">X33/Y33</f>
        <v>0.276162790697674</v>
      </c>
      <c r="W33" s="1" t="n">
        <f aca="false">N33*M33</f>
        <v>0</v>
      </c>
      <c r="X33" s="1" t="n">
        <v>9.5</v>
      </c>
      <c r="Y33" s="1" t="n">
        <v>34.4</v>
      </c>
      <c r="Z33" s="1" t="n">
        <f aca="false">I33-K33</f>
        <v>12.2</v>
      </c>
    </row>
    <row r="34" customFormat="false" ht="12.75" hidden="false" customHeight="false" outlineLevel="0" collapsed="false">
      <c r="A34" s="1" t="s">
        <v>368</v>
      </c>
      <c r="B34" s="1" t="n">
        <v>0</v>
      </c>
      <c r="C34" s="1" t="n">
        <v>0.367738</v>
      </c>
      <c r="D34" s="1" t="n">
        <v>2</v>
      </c>
      <c r="E34" s="1" t="n">
        <v>0.727</v>
      </c>
      <c r="F34" s="1" t="n">
        <v>8.3</v>
      </c>
      <c r="G34" s="1" t="n">
        <v>80</v>
      </c>
      <c r="H34" s="1" t="n">
        <v>7</v>
      </c>
      <c r="I34" s="1" t="n">
        <v>66.5</v>
      </c>
      <c r="J34" s="1" t="n">
        <v>17.6</v>
      </c>
      <c r="K34" s="1" t="n">
        <v>61.4</v>
      </c>
      <c r="L34" s="1" t="n">
        <v>0.5844</v>
      </c>
      <c r="M34" s="1" t="n">
        <v>0</v>
      </c>
      <c r="N34" s="1" t="n">
        <v>1</v>
      </c>
      <c r="O34" s="1" t="n">
        <v>7</v>
      </c>
      <c r="P34" s="1" t="n">
        <v>6</v>
      </c>
      <c r="Q34" s="1" t="n">
        <v>15</v>
      </c>
      <c r="R34" s="1" t="n">
        <v>14.04</v>
      </c>
      <c r="S34" s="1" t="n">
        <v>0.72</v>
      </c>
      <c r="T34" s="1" t="n">
        <v>370</v>
      </c>
      <c r="V34" s="57" t="n">
        <f aca="false">X34/Y34</f>
        <v>0.275974025974026</v>
      </c>
      <c r="W34" s="1" t="n">
        <f aca="false">N34*M34</f>
        <v>0</v>
      </c>
      <c r="X34" s="1" t="n">
        <v>8.5</v>
      </c>
      <c r="Y34" s="1" t="n">
        <v>30.8</v>
      </c>
      <c r="Z34" s="1" t="n">
        <f aca="false">I34-K34</f>
        <v>5.1</v>
      </c>
    </row>
    <row r="35" customFormat="false" ht="12.75" hidden="false" customHeight="false" outlineLevel="0" collapsed="false">
      <c r="A35" s="1" t="s">
        <v>194</v>
      </c>
      <c r="B35" s="1" t="n">
        <v>2</v>
      </c>
      <c r="C35" s="1" t="n">
        <v>0.225072</v>
      </c>
      <c r="D35" s="1" t="n">
        <v>3</v>
      </c>
      <c r="E35" s="1" t="n">
        <v>0.794</v>
      </c>
      <c r="F35" s="1" t="n">
        <v>19.9</v>
      </c>
      <c r="G35" s="1" t="n">
        <v>42.8</v>
      </c>
      <c r="H35" s="1" t="n">
        <v>8</v>
      </c>
      <c r="I35" s="1" t="n">
        <v>72.1</v>
      </c>
      <c r="J35" s="1" t="n">
        <v>19.9</v>
      </c>
      <c r="K35" s="1" t="n">
        <v>59.1</v>
      </c>
      <c r="L35" s="1" t="n">
        <v>0.5908</v>
      </c>
      <c r="M35" s="1" t="n">
        <v>1</v>
      </c>
      <c r="N35" s="1" t="n">
        <v>1</v>
      </c>
      <c r="O35" s="1" t="n">
        <v>9</v>
      </c>
      <c r="P35" s="1" t="n">
        <v>5</v>
      </c>
      <c r="Q35" s="1" t="n">
        <v>18</v>
      </c>
      <c r="R35" s="1" t="n">
        <v>22.4</v>
      </c>
      <c r="S35" s="1" t="n">
        <v>0.702</v>
      </c>
      <c r="T35" s="1" t="n">
        <v>436</v>
      </c>
      <c r="U35" s="1" t="n">
        <v>14797</v>
      </c>
      <c r="V35" s="57" t="n">
        <f aca="false">X35/Y35</f>
        <v>0.31151832460733</v>
      </c>
      <c r="W35" s="1" t="n">
        <f aca="false">N35*M35</f>
        <v>1</v>
      </c>
      <c r="X35" s="1" t="n">
        <v>11.9</v>
      </c>
      <c r="Y35" s="1" t="n">
        <v>38.2</v>
      </c>
      <c r="Z35" s="1" t="n">
        <f aca="false">I35-K35</f>
        <v>13</v>
      </c>
    </row>
    <row r="36" customFormat="false" ht="12.75" hidden="false" customHeight="false" outlineLevel="0" collapsed="false">
      <c r="A36" s="1" t="s">
        <v>398</v>
      </c>
      <c r="B36" s="1" t="n">
        <v>-1</v>
      </c>
      <c r="C36" s="1" t="n">
        <v>0.330089</v>
      </c>
      <c r="D36" s="1" t="n">
        <v>0</v>
      </c>
      <c r="E36" s="1" t="n">
        <v>0.636</v>
      </c>
      <c r="F36" s="1" t="n">
        <v>-0.5</v>
      </c>
      <c r="G36" s="1" t="n">
        <v>77.7</v>
      </c>
      <c r="H36" s="1" t="n">
        <v>9</v>
      </c>
      <c r="I36" s="1" t="n">
        <v>68.9</v>
      </c>
      <c r="J36" s="1" t="n">
        <v>20.6</v>
      </c>
      <c r="K36" s="1" t="n">
        <v>69.3</v>
      </c>
      <c r="L36" s="1" t="n">
        <v>0.4427</v>
      </c>
      <c r="M36" s="1" t="n">
        <v>1</v>
      </c>
      <c r="N36" s="1" t="n">
        <v>0</v>
      </c>
      <c r="O36" s="1" t="n">
        <v>1</v>
      </c>
      <c r="P36" s="1" t="n">
        <v>5</v>
      </c>
      <c r="Q36" s="1" t="n">
        <v>21</v>
      </c>
      <c r="R36" s="1" t="n">
        <v>-7.85</v>
      </c>
      <c r="S36" s="1" t="n">
        <v>0.654</v>
      </c>
      <c r="T36" s="1" t="n">
        <v>494</v>
      </c>
      <c r="V36" s="57" t="n">
        <f aca="false">X36/Y36</f>
        <v>0.357723577235772</v>
      </c>
      <c r="W36" s="1" t="n">
        <f aca="false">N36*M36</f>
        <v>0</v>
      </c>
      <c r="X36" s="1" t="n">
        <v>13.2</v>
      </c>
      <c r="Y36" s="1" t="n">
        <v>36.9</v>
      </c>
      <c r="Z36" s="1" t="n">
        <f aca="false">I36-K36</f>
        <v>-0.399999999999991</v>
      </c>
    </row>
    <row r="37" customFormat="false" ht="12.75" hidden="false" customHeight="false" outlineLevel="0" collapsed="false">
      <c r="A37" s="1" t="s">
        <v>39</v>
      </c>
      <c r="B37" s="1" t="n">
        <v>0</v>
      </c>
      <c r="C37" s="1" t="n">
        <v>0.30767</v>
      </c>
      <c r="D37" s="1" t="n">
        <v>3</v>
      </c>
      <c r="E37" s="1" t="n">
        <v>0.882</v>
      </c>
      <c r="F37" s="1" t="n">
        <v>21.9</v>
      </c>
      <c r="G37" s="1" t="n">
        <v>83.3</v>
      </c>
      <c r="H37" s="1" t="n">
        <v>7</v>
      </c>
      <c r="I37" s="1" t="n">
        <v>80.3</v>
      </c>
      <c r="J37" s="1" t="n">
        <v>15.4</v>
      </c>
      <c r="K37" s="1" t="n">
        <v>65.7</v>
      </c>
      <c r="L37" s="1" t="n">
        <v>0.5547</v>
      </c>
      <c r="M37" s="1" t="n">
        <v>1</v>
      </c>
      <c r="N37" s="1" t="n">
        <v>1</v>
      </c>
      <c r="O37" s="1" t="n">
        <v>9</v>
      </c>
      <c r="P37" s="1" t="n">
        <v>3</v>
      </c>
      <c r="Q37" s="1" t="n">
        <v>23</v>
      </c>
      <c r="R37" s="1" t="n">
        <v>20.91</v>
      </c>
      <c r="S37" s="1" t="n">
        <v>0.766</v>
      </c>
      <c r="T37" s="1" t="n">
        <v>350</v>
      </c>
      <c r="V37" s="57" t="n">
        <f aca="false">X37/Y37</f>
        <v>0.285714285714286</v>
      </c>
      <c r="W37" s="1" t="n">
        <f aca="false">N37*M37</f>
        <v>1</v>
      </c>
      <c r="X37" s="1" t="n">
        <v>9.2</v>
      </c>
      <c r="Y37" s="1" t="n">
        <v>32.2</v>
      </c>
      <c r="Z37" s="1" t="n">
        <f aca="false">I37-K37</f>
        <v>14.6</v>
      </c>
    </row>
    <row r="38" customFormat="false" ht="12.75" hidden="false" customHeight="false" outlineLevel="0" collapsed="false">
      <c r="A38" s="1" t="s">
        <v>48</v>
      </c>
      <c r="B38" s="1" t="n">
        <v>0</v>
      </c>
      <c r="C38" s="1" t="n">
        <v>0.263182</v>
      </c>
      <c r="D38" s="1" t="n">
        <v>1</v>
      </c>
      <c r="E38" s="1" t="n">
        <v>0.806</v>
      </c>
      <c r="F38" s="1" t="n">
        <v>13.4</v>
      </c>
      <c r="G38" s="1" t="n">
        <v>66.6</v>
      </c>
      <c r="H38" s="1" t="n">
        <v>10</v>
      </c>
      <c r="I38" s="1" t="n">
        <v>70.6</v>
      </c>
      <c r="J38" s="1" t="n">
        <v>19</v>
      </c>
      <c r="K38" s="1" t="n">
        <v>61.7</v>
      </c>
      <c r="L38" s="1" t="n">
        <v>0.4737</v>
      </c>
      <c r="M38" s="1" t="n">
        <v>1</v>
      </c>
      <c r="N38" s="1" t="n">
        <v>0</v>
      </c>
      <c r="O38" s="1" t="n">
        <v>1</v>
      </c>
      <c r="P38" s="1" t="n">
        <v>1</v>
      </c>
      <c r="Q38" s="1" t="n">
        <v>20</v>
      </c>
      <c r="R38" s="1" t="n">
        <v>5.18</v>
      </c>
      <c r="S38" s="1" t="n">
        <v>0.718</v>
      </c>
      <c r="T38" s="1" t="n">
        <v>401</v>
      </c>
      <c r="V38" s="57" t="n">
        <f aca="false">X38/Y38</f>
        <v>0.275757575757576</v>
      </c>
      <c r="W38" s="1" t="n">
        <f aca="false">N38*M38</f>
        <v>0</v>
      </c>
      <c r="X38" s="1" t="n">
        <v>9.1</v>
      </c>
      <c r="Y38" s="1" t="n">
        <v>33</v>
      </c>
      <c r="Z38" s="1" t="n">
        <f aca="false">I38-K38</f>
        <v>8.89999999999999</v>
      </c>
    </row>
    <row r="39" customFormat="false" ht="12.75" hidden="false" customHeight="false" outlineLevel="0" collapsed="false">
      <c r="A39" s="1" t="s">
        <v>399</v>
      </c>
      <c r="B39" s="1" t="n">
        <v>1</v>
      </c>
      <c r="C39" s="1" t="n">
        <v>0.299974</v>
      </c>
      <c r="D39" s="1" t="n">
        <v>1</v>
      </c>
      <c r="E39" s="1" t="n">
        <v>0.968</v>
      </c>
      <c r="F39" s="1" t="n">
        <v>19.6</v>
      </c>
      <c r="G39" s="1" t="n">
        <v>85.7</v>
      </c>
      <c r="H39" s="1" t="n">
        <v>9</v>
      </c>
      <c r="I39" s="1" t="n">
        <v>74.2</v>
      </c>
      <c r="J39" s="1" t="n">
        <v>21</v>
      </c>
      <c r="K39" s="1" t="n">
        <v>61.2</v>
      </c>
      <c r="L39" s="1" t="n">
        <v>0.464</v>
      </c>
      <c r="M39" s="1" t="n">
        <v>1</v>
      </c>
      <c r="N39" s="1" t="n">
        <v>0</v>
      </c>
      <c r="O39" s="1" t="n">
        <v>3</v>
      </c>
      <c r="P39" s="1" t="n">
        <v>0</v>
      </c>
      <c r="Q39" s="1" t="n">
        <v>21</v>
      </c>
      <c r="R39" s="1" t="n">
        <v>8.64</v>
      </c>
      <c r="S39" s="1" t="n">
        <v>0.73</v>
      </c>
      <c r="T39" s="1" t="n">
        <v>458</v>
      </c>
      <c r="V39" s="57" t="n">
        <f aca="false">X39/Y39</f>
        <v>0.327327327327327</v>
      </c>
      <c r="W39" s="1" t="n">
        <f aca="false">N39*M39</f>
        <v>0</v>
      </c>
      <c r="X39" s="1" t="n">
        <v>10.9</v>
      </c>
      <c r="Y39" s="1" t="n">
        <v>33.3</v>
      </c>
      <c r="Z39" s="1" t="n">
        <f aca="false">I39-K39</f>
        <v>13</v>
      </c>
    </row>
    <row r="40" customFormat="false" ht="12.75" hidden="false" customHeight="false" outlineLevel="0" collapsed="false">
      <c r="A40" s="1" t="s">
        <v>400</v>
      </c>
      <c r="B40" s="1" t="n">
        <v>0</v>
      </c>
      <c r="C40" s="1" t="n">
        <v>0.239588</v>
      </c>
      <c r="D40" s="1" t="n">
        <v>1</v>
      </c>
      <c r="E40" s="1" t="n">
        <v>0.727</v>
      </c>
      <c r="F40" s="1" t="n">
        <v>13.9</v>
      </c>
      <c r="G40" s="1" t="n">
        <v>33.3</v>
      </c>
      <c r="H40" s="1" t="n">
        <v>8</v>
      </c>
      <c r="I40" s="1" t="n">
        <v>81.2</v>
      </c>
      <c r="J40" s="1" t="n">
        <v>18.9</v>
      </c>
      <c r="K40" s="1" t="n">
        <v>71.3</v>
      </c>
      <c r="L40" s="1" t="n">
        <v>0.4824</v>
      </c>
      <c r="M40" s="1" t="n">
        <v>0</v>
      </c>
      <c r="N40" s="1" t="n">
        <v>0</v>
      </c>
      <c r="O40" s="1" t="n">
        <v>0</v>
      </c>
      <c r="P40" s="1" t="n">
        <v>4</v>
      </c>
      <c r="Q40" s="1" t="n">
        <v>22</v>
      </c>
      <c r="R40" s="1" t="n">
        <v>2.84</v>
      </c>
      <c r="S40" s="1" t="n">
        <v>0.762</v>
      </c>
      <c r="T40" s="1" t="n">
        <v>444</v>
      </c>
      <c r="V40" s="57" t="n">
        <f aca="false">X40/Y40</f>
        <v>0.319884726224784</v>
      </c>
      <c r="W40" s="1" t="n">
        <f aca="false">N40*M40</f>
        <v>0</v>
      </c>
      <c r="X40" s="1" t="n">
        <v>11.1</v>
      </c>
      <c r="Y40" s="1" t="n">
        <v>34.7</v>
      </c>
      <c r="Z40" s="1" t="n">
        <f aca="false">I40-K40</f>
        <v>9.90000000000001</v>
      </c>
    </row>
    <row r="41" customFormat="false" ht="12.75" hidden="false" customHeight="false" outlineLevel="0" collapsed="false">
      <c r="A41" s="1" t="s">
        <v>74</v>
      </c>
      <c r="B41" s="1" t="n">
        <v>3</v>
      </c>
      <c r="C41" s="1" t="n">
        <v>0.218785</v>
      </c>
      <c r="D41" s="1" t="n">
        <v>0</v>
      </c>
      <c r="E41" s="1" t="n">
        <v>0.647</v>
      </c>
      <c r="F41" s="1" t="n">
        <v>7.9</v>
      </c>
      <c r="G41" s="1" t="n">
        <v>64.2</v>
      </c>
      <c r="H41" s="1" t="n">
        <v>5</v>
      </c>
      <c r="I41" s="1" t="n">
        <v>73.4</v>
      </c>
      <c r="J41" s="1" t="n">
        <v>18.8</v>
      </c>
      <c r="K41" s="1" t="n">
        <v>68</v>
      </c>
      <c r="L41" s="1" t="n">
        <v>0.5474</v>
      </c>
      <c r="M41" s="1" t="n">
        <v>0</v>
      </c>
      <c r="N41" s="1" t="n">
        <v>1</v>
      </c>
      <c r="O41" s="1" t="n">
        <v>7</v>
      </c>
      <c r="P41" s="1" t="n">
        <v>8</v>
      </c>
      <c r="Q41" s="1" t="n">
        <v>17</v>
      </c>
      <c r="R41" s="1" t="n">
        <v>11.76</v>
      </c>
      <c r="S41" s="1" t="n">
        <v>0.708</v>
      </c>
      <c r="T41" s="1" t="n">
        <v>470</v>
      </c>
      <c r="U41" s="1" t="n">
        <v>13779</v>
      </c>
      <c r="V41" s="57" t="n">
        <f aca="false">X41/Y41</f>
        <v>0.325268817204301</v>
      </c>
      <c r="W41" s="1" t="n">
        <f aca="false">N41*M41</f>
        <v>0</v>
      </c>
      <c r="X41" s="1" t="n">
        <v>12.1</v>
      </c>
      <c r="Y41" s="1" t="n">
        <v>37.2</v>
      </c>
      <c r="Z41" s="1" t="n">
        <f aca="false">I41-K41</f>
        <v>5.40000000000001</v>
      </c>
    </row>
    <row r="42" customFormat="false" ht="12.75" hidden="false" customHeight="false" outlineLevel="0" collapsed="false">
      <c r="A42" s="1" t="s">
        <v>401</v>
      </c>
      <c r="B42" s="1" t="n">
        <v>1</v>
      </c>
      <c r="C42" s="1" t="n">
        <v>0.312966</v>
      </c>
      <c r="D42" s="1" t="n">
        <v>1</v>
      </c>
      <c r="E42" s="1" t="n">
        <v>0.818</v>
      </c>
      <c r="F42" s="1" t="n">
        <v>21.1</v>
      </c>
      <c r="G42" s="1" t="n">
        <v>66.6</v>
      </c>
      <c r="H42" s="1" t="n">
        <v>8</v>
      </c>
      <c r="I42" s="1" t="n">
        <v>73.2</v>
      </c>
      <c r="J42" s="1" t="n">
        <v>20</v>
      </c>
      <c r="K42" s="1" t="n">
        <v>59.1</v>
      </c>
      <c r="L42" s="1" t="n">
        <v>0.5412</v>
      </c>
      <c r="M42" s="1" t="n">
        <v>1</v>
      </c>
      <c r="N42" s="1" t="n">
        <v>0</v>
      </c>
      <c r="O42" s="1" t="n">
        <v>4</v>
      </c>
      <c r="P42" s="1" t="n">
        <v>3</v>
      </c>
      <c r="Q42" s="1" t="n">
        <v>16</v>
      </c>
      <c r="R42" s="1" t="n">
        <v>16.14</v>
      </c>
      <c r="S42" s="1" t="n">
        <v>0.707</v>
      </c>
      <c r="T42" s="1" t="n">
        <v>440</v>
      </c>
      <c r="U42" s="1" t="n">
        <v>14570</v>
      </c>
      <c r="V42" s="57" t="n">
        <f aca="false">X42/Y42</f>
        <v>0.294736842105263</v>
      </c>
      <c r="W42" s="1" t="n">
        <f aca="false">N42*M42</f>
        <v>0</v>
      </c>
      <c r="X42" s="1" t="n">
        <v>11.2</v>
      </c>
      <c r="Y42" s="1" t="n">
        <v>38</v>
      </c>
      <c r="Z42" s="1" t="n">
        <f aca="false">I42-K42</f>
        <v>14.1</v>
      </c>
    </row>
    <row r="43" customFormat="false" ht="12.75" hidden="false" customHeight="false" outlineLevel="0" collapsed="false">
      <c r="A43" s="1" t="s">
        <v>254</v>
      </c>
      <c r="B43" s="1" t="n">
        <v>0</v>
      </c>
      <c r="C43" s="1" t="n">
        <v>0.175796</v>
      </c>
      <c r="D43" s="1" t="n">
        <v>1</v>
      </c>
      <c r="E43" s="1" t="n">
        <v>0.743</v>
      </c>
      <c r="F43" s="1" t="n">
        <v>14.7</v>
      </c>
      <c r="G43" s="1" t="n">
        <v>42.8</v>
      </c>
      <c r="H43" s="1" t="n">
        <v>8</v>
      </c>
      <c r="I43" s="1" t="n">
        <v>78.5</v>
      </c>
      <c r="J43" s="1" t="n">
        <v>20.7</v>
      </c>
      <c r="K43" s="1" t="n">
        <v>68</v>
      </c>
      <c r="L43" s="1" t="n">
        <v>0.5431</v>
      </c>
      <c r="M43" s="1" t="n">
        <v>0</v>
      </c>
      <c r="N43" s="1" t="n">
        <v>0</v>
      </c>
      <c r="O43" s="1" t="n">
        <v>0</v>
      </c>
      <c r="P43" s="1" t="n">
        <v>1</v>
      </c>
      <c r="Q43" s="1" t="n">
        <v>19</v>
      </c>
      <c r="R43" s="1" t="n">
        <v>9.07</v>
      </c>
      <c r="S43" s="1" t="n">
        <v>0.667</v>
      </c>
      <c r="T43" s="1" t="n">
        <v>516</v>
      </c>
      <c r="V43" s="57" t="n">
        <f aca="false">X43/Y43</f>
        <v>0.362282878411911</v>
      </c>
      <c r="W43" s="1" t="n">
        <f aca="false">N43*M43</f>
        <v>0</v>
      </c>
      <c r="X43" s="1" t="n">
        <v>14.6</v>
      </c>
      <c r="Y43" s="1" t="n">
        <v>40.3</v>
      </c>
      <c r="Z43" s="1" t="n">
        <f aca="false">I43-K43</f>
        <v>10.5</v>
      </c>
    </row>
    <row r="44" customFormat="false" ht="12.75" hidden="false" customHeight="false" outlineLevel="0" collapsed="false">
      <c r="A44" s="1" t="s">
        <v>402</v>
      </c>
      <c r="B44" s="1" t="n">
        <v>1</v>
      </c>
      <c r="C44" s="1" t="n">
        <v>0.23529412</v>
      </c>
      <c r="D44" s="1" t="n">
        <v>0</v>
      </c>
      <c r="E44" s="1" t="n">
        <v>0.735</v>
      </c>
      <c r="F44" s="1" t="n">
        <v>4.1</v>
      </c>
      <c r="G44" s="1" t="n">
        <v>70</v>
      </c>
      <c r="H44" s="1" t="n">
        <v>9</v>
      </c>
      <c r="I44" s="1" t="n">
        <v>69</v>
      </c>
      <c r="J44" s="1" t="n">
        <v>22</v>
      </c>
      <c r="K44" s="1" t="n">
        <v>66.1</v>
      </c>
      <c r="L44" s="1" t="n">
        <v>0.4521</v>
      </c>
      <c r="M44" s="1" t="n">
        <v>1</v>
      </c>
      <c r="N44" s="1" t="n">
        <v>0</v>
      </c>
      <c r="O44" s="1" t="n">
        <v>1</v>
      </c>
      <c r="P44" s="1" t="n">
        <v>2</v>
      </c>
      <c r="Q44" s="1" t="n">
        <v>20</v>
      </c>
      <c r="R44" s="1" t="n">
        <v>-3.91</v>
      </c>
      <c r="S44" s="1" t="n">
        <v>0.653</v>
      </c>
      <c r="T44" s="1" t="n">
        <v>416</v>
      </c>
      <c r="V44" s="57" t="n">
        <f aca="false">X44/Y44</f>
        <v>0.318681318681319</v>
      </c>
      <c r="W44" s="1" t="n">
        <f aca="false">N44*M44</f>
        <v>0</v>
      </c>
      <c r="X44" s="1" t="n">
        <v>11.6</v>
      </c>
      <c r="Y44" s="1" t="n">
        <v>36.4</v>
      </c>
      <c r="Z44" s="1" t="n">
        <f aca="false">I44-K44</f>
        <v>2.90000000000001</v>
      </c>
    </row>
    <row r="45" customFormat="false" ht="12.75" hidden="false" customHeight="false" outlineLevel="0" collapsed="false">
      <c r="A45" s="1" t="s">
        <v>51</v>
      </c>
      <c r="B45" s="1" t="n">
        <v>3</v>
      </c>
      <c r="C45" s="1" t="n">
        <v>0.185144124168514</v>
      </c>
      <c r="D45" s="1" t="n">
        <v>2</v>
      </c>
      <c r="E45" s="1" t="n">
        <v>0.853</v>
      </c>
      <c r="F45" s="1" t="n">
        <v>20.8</v>
      </c>
      <c r="G45" s="1" t="n">
        <v>50</v>
      </c>
      <c r="H45" s="1" t="n">
        <v>9</v>
      </c>
      <c r="I45" s="1" t="n">
        <v>82</v>
      </c>
      <c r="J45" s="1" t="n">
        <v>16.2</v>
      </c>
      <c r="K45" s="1" t="n">
        <v>66.9</v>
      </c>
      <c r="L45" s="1" t="n">
        <v>0.5989</v>
      </c>
      <c r="M45" s="1" t="n">
        <v>1</v>
      </c>
      <c r="N45" s="1" t="n">
        <v>1</v>
      </c>
      <c r="O45" s="1" t="n">
        <v>1</v>
      </c>
      <c r="P45" s="1" t="n">
        <v>3</v>
      </c>
      <c r="Q45" s="1" t="n">
        <v>14</v>
      </c>
      <c r="R45" s="1" t="n">
        <v>22.22</v>
      </c>
      <c r="S45" s="1" t="n">
        <v>0.676</v>
      </c>
      <c r="T45" s="1" t="n">
        <v>368</v>
      </c>
      <c r="U45" s="1" t="n">
        <v>19144</v>
      </c>
      <c r="V45" s="57" t="n">
        <f aca="false">X45/Y45</f>
        <v>0.325268817204301</v>
      </c>
      <c r="W45" s="1" t="n">
        <f aca="false">N45*M45</f>
        <v>1</v>
      </c>
      <c r="X45" s="1" t="n">
        <v>12.1</v>
      </c>
      <c r="Y45" s="1" t="n">
        <v>37.2</v>
      </c>
      <c r="Z45" s="1" t="n">
        <f aca="false">I45-K45</f>
        <v>15.1</v>
      </c>
    </row>
    <row r="46" customFormat="false" ht="12.75" hidden="false" customHeight="false" outlineLevel="0" collapsed="false">
      <c r="A46" s="1" t="s">
        <v>121</v>
      </c>
      <c r="B46" s="1" t="n">
        <v>0</v>
      </c>
      <c r="C46" s="1" t="n">
        <v>0.289815</v>
      </c>
      <c r="D46" s="1" t="n">
        <v>2</v>
      </c>
      <c r="E46" s="1" t="n">
        <v>0.667</v>
      </c>
      <c r="F46" s="1" t="n">
        <v>7.9</v>
      </c>
      <c r="G46" s="1" t="n">
        <v>71.4</v>
      </c>
      <c r="H46" s="1" t="n">
        <v>7</v>
      </c>
      <c r="I46" s="1" t="n">
        <v>66.5</v>
      </c>
      <c r="J46" s="1" t="n">
        <v>16</v>
      </c>
      <c r="K46" s="1" t="n">
        <v>61.5</v>
      </c>
      <c r="L46" s="1" t="n">
        <v>0.5791</v>
      </c>
      <c r="M46" s="1" t="n">
        <v>0</v>
      </c>
      <c r="N46" s="1" t="n">
        <v>1</v>
      </c>
      <c r="O46" s="1" t="n">
        <v>6</v>
      </c>
      <c r="P46" s="1" t="n">
        <v>6</v>
      </c>
      <c r="Q46" s="1" t="n">
        <v>14</v>
      </c>
      <c r="R46" s="1" t="n">
        <v>11.52</v>
      </c>
      <c r="S46" s="1" t="n">
        <v>0.708</v>
      </c>
      <c r="T46" s="1" t="n">
        <v>322</v>
      </c>
      <c r="V46" s="57" t="n">
        <f aca="false">X46/Y46</f>
        <v>0.302941176470588</v>
      </c>
      <c r="W46" s="1" t="n">
        <f aca="false">N46*M46</f>
        <v>0</v>
      </c>
      <c r="X46" s="1" t="n">
        <v>10.3</v>
      </c>
      <c r="Y46" s="1" t="n">
        <v>34</v>
      </c>
      <c r="Z46" s="1" t="n">
        <f aca="false">I46-K46</f>
        <v>5</v>
      </c>
    </row>
    <row r="47" customFormat="false" ht="12.75" hidden="false" customHeight="false" outlineLevel="0" collapsed="false">
      <c r="A47" s="1" t="s">
        <v>403</v>
      </c>
      <c r="B47" s="1" t="n">
        <v>2</v>
      </c>
      <c r="C47" s="1" t="n">
        <v>0.313254</v>
      </c>
      <c r="D47" s="1" t="n">
        <v>1</v>
      </c>
      <c r="E47" s="1" t="n">
        <v>0.794</v>
      </c>
      <c r="F47" s="1" t="n">
        <v>12.3</v>
      </c>
      <c r="G47" s="1" t="n">
        <v>66.6</v>
      </c>
      <c r="H47" s="1" t="n">
        <v>8</v>
      </c>
      <c r="I47" s="1" t="n">
        <v>70.7</v>
      </c>
      <c r="J47" s="1" t="n">
        <v>19.7</v>
      </c>
      <c r="K47" s="1" t="n">
        <v>62.4</v>
      </c>
      <c r="L47" s="1" t="n">
        <v>0.4982</v>
      </c>
      <c r="M47" s="1" t="n">
        <v>1</v>
      </c>
      <c r="N47" s="1" t="n">
        <v>0</v>
      </c>
      <c r="O47" s="1" t="n">
        <v>1</v>
      </c>
      <c r="P47" s="1" t="n">
        <v>2</v>
      </c>
      <c r="Q47" s="1" t="n">
        <v>16</v>
      </c>
      <c r="R47" s="1" t="n">
        <v>6.72</v>
      </c>
      <c r="S47" s="1" t="n">
        <v>0.681</v>
      </c>
      <c r="T47" s="1" t="n">
        <v>481</v>
      </c>
      <c r="V47" s="57" t="n">
        <f aca="false">X47/Y47</f>
        <v>0.364942528735632</v>
      </c>
      <c r="W47" s="1" t="n">
        <f aca="false">N47*M47</f>
        <v>0</v>
      </c>
      <c r="X47" s="1" t="n">
        <v>12.7</v>
      </c>
      <c r="Y47" s="1" t="n">
        <v>34.8</v>
      </c>
      <c r="Z47" s="1" t="n">
        <f aca="false">I47-K47</f>
        <v>8.3</v>
      </c>
    </row>
    <row r="48" customFormat="false" ht="12.75" hidden="false" customHeight="false" outlineLevel="0" collapsed="false">
      <c r="A48" s="1" t="s">
        <v>41</v>
      </c>
      <c r="B48" s="1" t="n">
        <v>4</v>
      </c>
      <c r="C48" s="1" t="n">
        <v>0.194892</v>
      </c>
      <c r="D48" s="1" t="n">
        <v>3</v>
      </c>
      <c r="E48" s="1" t="n">
        <v>0.794</v>
      </c>
      <c r="F48" s="1" t="n">
        <v>23.5</v>
      </c>
      <c r="G48" s="1" t="n">
        <v>37.5</v>
      </c>
      <c r="H48" s="1" t="n">
        <v>6</v>
      </c>
      <c r="I48" s="1" t="n">
        <v>74.8</v>
      </c>
      <c r="J48" s="1" t="n">
        <v>17.4</v>
      </c>
      <c r="K48" s="1" t="n">
        <v>59.1</v>
      </c>
      <c r="L48" s="1" t="n">
        <v>0.577</v>
      </c>
      <c r="M48" s="1" t="n">
        <v>0</v>
      </c>
      <c r="N48" s="1" t="n">
        <v>1</v>
      </c>
      <c r="O48" s="1" t="n">
        <v>7</v>
      </c>
      <c r="P48" s="1" t="n">
        <v>6</v>
      </c>
      <c r="Q48" s="1" t="n">
        <v>13</v>
      </c>
      <c r="R48" s="1" t="n">
        <v>24.54</v>
      </c>
      <c r="S48" s="1" t="n">
        <v>0.698</v>
      </c>
      <c r="T48" s="1" t="n">
        <v>449</v>
      </c>
      <c r="U48" s="1" t="n">
        <v>15125</v>
      </c>
      <c r="V48" s="57" t="n">
        <f aca="false">X48/Y48</f>
        <v>0.317934782608696</v>
      </c>
      <c r="W48" s="1" t="n">
        <f aca="false">N48*M48</f>
        <v>0</v>
      </c>
      <c r="X48" s="1" t="n">
        <v>11.7</v>
      </c>
      <c r="Y48" s="1" t="n">
        <v>36.8</v>
      </c>
      <c r="Z48" s="1" t="n">
        <f aca="false">I48-K48</f>
        <v>15.7</v>
      </c>
    </row>
    <row r="49" customFormat="false" ht="12.75" hidden="false" customHeight="false" outlineLevel="0" collapsed="false">
      <c r="A49" s="1" t="s">
        <v>69</v>
      </c>
      <c r="B49" s="1" t="n">
        <v>1</v>
      </c>
      <c r="C49" s="1" t="n">
        <v>0.341224</v>
      </c>
      <c r="D49" s="1" t="n">
        <v>3</v>
      </c>
      <c r="E49" s="1" t="n">
        <v>0.636</v>
      </c>
      <c r="F49" s="1" t="n">
        <v>9.5</v>
      </c>
      <c r="G49" s="1" t="n">
        <v>54.5</v>
      </c>
      <c r="H49" s="1" t="n">
        <v>6</v>
      </c>
      <c r="I49" s="1" t="n">
        <v>72.2</v>
      </c>
      <c r="J49" s="1" t="n">
        <v>13.4</v>
      </c>
      <c r="K49" s="1" t="n">
        <v>66</v>
      </c>
      <c r="L49" s="1" t="n">
        <v>0.5756</v>
      </c>
      <c r="M49" s="1" t="n">
        <v>0</v>
      </c>
      <c r="N49" s="1" t="n">
        <v>1</v>
      </c>
      <c r="O49" s="1" t="n">
        <v>2</v>
      </c>
      <c r="P49" s="1" t="n">
        <v>8</v>
      </c>
      <c r="Q49" s="1" t="n">
        <v>20</v>
      </c>
      <c r="R49" s="1" t="n">
        <v>14.2</v>
      </c>
      <c r="S49" s="1" t="n">
        <v>0.652</v>
      </c>
      <c r="T49" s="1" t="n">
        <v>286</v>
      </c>
      <c r="U49" s="1" t="n">
        <v>13916</v>
      </c>
      <c r="V49" s="57" t="n">
        <f aca="false">X49/Y49</f>
        <v>0.342424242424242</v>
      </c>
      <c r="W49" s="1" t="n">
        <f aca="false">N49*M49</f>
        <v>0</v>
      </c>
      <c r="X49" s="1" t="n">
        <v>11.3</v>
      </c>
      <c r="Y49" s="1" t="n">
        <v>33</v>
      </c>
      <c r="Z49" s="1" t="n">
        <f aca="false">I49-K49</f>
        <v>6.2</v>
      </c>
    </row>
    <row r="50" customFormat="false" ht="12.75" hidden="false" customHeight="false" outlineLevel="0" collapsed="false">
      <c r="A50" s="1" t="s">
        <v>404</v>
      </c>
      <c r="B50" s="1" t="n">
        <v>0</v>
      </c>
      <c r="C50" s="1" t="n">
        <v>0.2288136</v>
      </c>
      <c r="D50" s="1" t="n">
        <v>0</v>
      </c>
      <c r="E50" s="1" t="n">
        <v>0.645</v>
      </c>
      <c r="F50" s="1" t="n">
        <v>8.6</v>
      </c>
      <c r="G50" s="1" t="n">
        <v>62.5</v>
      </c>
      <c r="H50" s="1" t="n">
        <v>8</v>
      </c>
      <c r="I50" s="1" t="n">
        <v>70.7</v>
      </c>
      <c r="J50" s="1" t="n">
        <v>21.5</v>
      </c>
      <c r="K50" s="1" t="n">
        <v>65</v>
      </c>
      <c r="L50" s="1" t="n">
        <v>0.5203</v>
      </c>
      <c r="M50" s="1" t="n">
        <v>1</v>
      </c>
      <c r="N50" s="1" t="n">
        <v>0</v>
      </c>
      <c r="O50" s="1" t="n">
        <v>1</v>
      </c>
      <c r="P50" s="1" t="n">
        <v>6</v>
      </c>
      <c r="Q50" s="1" t="n">
        <v>18</v>
      </c>
      <c r="R50" s="1" t="n">
        <v>8.29</v>
      </c>
      <c r="S50" s="1" t="n">
        <v>0.756</v>
      </c>
      <c r="T50" s="1" t="n">
        <v>439</v>
      </c>
      <c r="V50" s="57" t="n">
        <f aca="false">X50/Y50</f>
        <v>0.31830985915493</v>
      </c>
      <c r="W50" s="1" t="n">
        <f aca="false">N50*M50</f>
        <v>0</v>
      </c>
      <c r="X50" s="1" t="n">
        <v>11.3</v>
      </c>
      <c r="Y50" s="1" t="n">
        <v>35.5</v>
      </c>
      <c r="Z50" s="1" t="n">
        <f aca="false">I50-K50</f>
        <v>5.7</v>
      </c>
    </row>
    <row r="51" customFormat="false" ht="12.75" hidden="false" customHeight="false" outlineLevel="0" collapsed="false">
      <c r="A51" s="1" t="s">
        <v>333</v>
      </c>
      <c r="B51" s="1" t="n">
        <v>1</v>
      </c>
      <c r="C51" s="1" t="n">
        <v>0.306178</v>
      </c>
      <c r="D51" s="1" t="n">
        <v>0</v>
      </c>
      <c r="E51" s="1" t="n">
        <v>0.781</v>
      </c>
      <c r="F51" s="1" t="n">
        <v>18.4</v>
      </c>
      <c r="G51" s="1" t="n">
        <v>33.3</v>
      </c>
      <c r="H51" s="1" t="n">
        <v>8</v>
      </c>
      <c r="I51" s="1" t="n">
        <v>69.2</v>
      </c>
      <c r="J51" s="1" t="n">
        <v>17.7</v>
      </c>
      <c r="K51" s="1" t="n">
        <v>57.5</v>
      </c>
      <c r="L51" s="1" t="n">
        <v>0.5486</v>
      </c>
      <c r="M51" s="1" t="n">
        <v>0</v>
      </c>
      <c r="N51" s="1" t="n">
        <v>0</v>
      </c>
      <c r="O51" s="1" t="n">
        <v>3</v>
      </c>
      <c r="P51" s="1" t="n">
        <v>3</v>
      </c>
      <c r="Q51" s="1" t="n">
        <v>16</v>
      </c>
      <c r="R51" s="1" t="n">
        <v>14.95</v>
      </c>
      <c r="S51" s="1" t="n">
        <v>0.716</v>
      </c>
      <c r="T51" s="1" t="n">
        <v>382</v>
      </c>
      <c r="V51" s="57" t="n">
        <f aca="false">X51/Y51</f>
        <v>0.314024390243902</v>
      </c>
      <c r="W51" s="1" t="n">
        <f aca="false">N51*M51</f>
        <v>0</v>
      </c>
      <c r="X51" s="1" t="n">
        <v>10.3</v>
      </c>
      <c r="Y51" s="1" t="n">
        <v>32.8</v>
      </c>
      <c r="Z51" s="1" t="n">
        <f aca="false">I51-K51</f>
        <v>11.7</v>
      </c>
    </row>
    <row r="52" customFormat="false" ht="12.75" hidden="false" customHeight="false" outlineLevel="0" collapsed="false">
      <c r="A52" s="1" t="s">
        <v>260</v>
      </c>
      <c r="B52" s="1" t="n">
        <v>0</v>
      </c>
      <c r="C52" s="1" t="n">
        <v>0.287005</v>
      </c>
      <c r="D52" s="1" t="n">
        <v>2</v>
      </c>
      <c r="E52" s="1" t="n">
        <v>0.788</v>
      </c>
      <c r="F52" s="1" t="n">
        <v>11.9</v>
      </c>
      <c r="G52" s="1" t="n">
        <v>78.5</v>
      </c>
      <c r="H52" s="1" t="n">
        <v>6</v>
      </c>
      <c r="I52" s="1" t="n">
        <v>71.2</v>
      </c>
      <c r="J52" s="1" t="n">
        <v>18.7</v>
      </c>
      <c r="K52" s="1" t="n">
        <v>63.2</v>
      </c>
      <c r="L52" s="1" t="n">
        <v>0.5771</v>
      </c>
      <c r="M52" s="1" t="n">
        <v>0</v>
      </c>
      <c r="N52" s="1" t="n">
        <v>0</v>
      </c>
      <c r="O52" s="1" t="n">
        <v>3</v>
      </c>
      <c r="P52" s="1" t="n">
        <v>0</v>
      </c>
      <c r="Q52" s="1" t="n">
        <v>18</v>
      </c>
      <c r="R52" s="1" t="n">
        <v>9.97</v>
      </c>
      <c r="S52" s="1" t="n">
        <v>0.656</v>
      </c>
      <c r="T52" s="1" t="n">
        <v>424</v>
      </c>
      <c r="V52" s="57" t="n">
        <f aca="false">X52/Y52</f>
        <v>0.288409703504043</v>
      </c>
      <c r="W52" s="1" t="n">
        <f aca="false">N52*M52</f>
        <v>0</v>
      </c>
      <c r="X52" s="1" t="n">
        <v>10.7</v>
      </c>
      <c r="Y52" s="1" t="n">
        <v>37.1</v>
      </c>
      <c r="Z52" s="1" t="n">
        <f aca="false">I52-K52</f>
        <v>8</v>
      </c>
    </row>
    <row r="53" customFormat="false" ht="12.75" hidden="false" customHeight="false" outlineLevel="0" collapsed="false">
      <c r="A53" s="1" t="s">
        <v>198</v>
      </c>
      <c r="B53" s="1" t="n">
        <v>0</v>
      </c>
      <c r="C53" s="1" t="n">
        <v>0.393</v>
      </c>
      <c r="D53" s="1" t="n">
        <v>0</v>
      </c>
      <c r="E53" s="1" t="n">
        <v>0.794</v>
      </c>
      <c r="F53" s="1" t="n">
        <v>16.2</v>
      </c>
      <c r="G53" s="1" t="n">
        <v>66.6</v>
      </c>
      <c r="H53" s="1" t="n">
        <v>9</v>
      </c>
      <c r="I53" s="1" t="n">
        <v>77.3</v>
      </c>
      <c r="J53" s="1" t="n">
        <v>15.7</v>
      </c>
      <c r="K53" s="1" t="n">
        <v>66.5</v>
      </c>
      <c r="L53" s="1" t="n">
        <v>0.4541</v>
      </c>
      <c r="M53" s="1" t="n">
        <v>1</v>
      </c>
      <c r="N53" s="1" t="n">
        <v>0</v>
      </c>
      <c r="O53" s="1" t="n">
        <v>0</v>
      </c>
      <c r="P53" s="1" t="n">
        <v>1</v>
      </c>
      <c r="Q53" s="1" t="n">
        <v>16</v>
      </c>
      <c r="R53" s="1" t="n">
        <v>7.5</v>
      </c>
      <c r="S53" s="1" t="n">
        <v>0.73</v>
      </c>
      <c r="T53" s="1" t="n">
        <v>365</v>
      </c>
      <c r="V53" s="57" t="n">
        <f aca="false">X53/Y53</f>
        <v>0.304347826086957</v>
      </c>
      <c r="W53" s="1" t="n">
        <f aca="false">N53*M53</f>
        <v>0</v>
      </c>
      <c r="X53" s="1" t="n">
        <v>10.5</v>
      </c>
      <c r="Y53" s="1" t="n">
        <v>34.5</v>
      </c>
      <c r="Z53" s="1" t="n">
        <f aca="false">I53-K53</f>
        <v>10.8</v>
      </c>
    </row>
    <row r="54" customFormat="false" ht="12.75" hidden="false" customHeight="false" outlineLevel="0" collapsed="false">
      <c r="A54" s="1" t="s">
        <v>405</v>
      </c>
      <c r="B54" s="1" t="n">
        <v>0</v>
      </c>
      <c r="C54" s="1" t="n">
        <v>0.387</v>
      </c>
      <c r="D54" s="1" t="n">
        <v>0</v>
      </c>
      <c r="E54" s="1" t="n">
        <v>0.758</v>
      </c>
      <c r="F54" s="1" t="n">
        <v>10.1</v>
      </c>
      <c r="G54" s="1" t="n">
        <v>70.5</v>
      </c>
      <c r="H54" s="1" t="n">
        <v>5</v>
      </c>
      <c r="I54" s="1" t="n">
        <v>71.6</v>
      </c>
      <c r="J54" s="1" t="n">
        <v>16.8</v>
      </c>
      <c r="K54" s="1" t="n">
        <v>64.9</v>
      </c>
      <c r="L54" s="1" t="n">
        <v>0.5371</v>
      </c>
      <c r="M54" s="1" t="n">
        <v>0</v>
      </c>
      <c r="N54" s="1" t="n">
        <v>0</v>
      </c>
      <c r="O54" s="1" t="n">
        <v>4</v>
      </c>
      <c r="P54" s="1" t="n">
        <v>5</v>
      </c>
      <c r="Q54" s="1" t="n">
        <v>20</v>
      </c>
      <c r="R54" s="1" t="n">
        <v>8.23</v>
      </c>
      <c r="S54" s="1" t="n">
        <v>0.736</v>
      </c>
      <c r="T54" s="1" t="n">
        <v>377</v>
      </c>
      <c r="V54" s="57" t="n">
        <f aca="false">X54/Y54</f>
        <v>0.37874659400545</v>
      </c>
      <c r="W54" s="1" t="n">
        <f aca="false">N54*M54</f>
        <v>0</v>
      </c>
      <c r="X54" s="1" t="n">
        <v>13.9</v>
      </c>
      <c r="Y54" s="1" t="n">
        <v>36.7</v>
      </c>
      <c r="Z54" s="1" t="n">
        <f aca="false">I54-K54</f>
        <v>6.69999999999999</v>
      </c>
    </row>
    <row r="55" customFormat="false" ht="12.75" hidden="false" customHeight="false" outlineLevel="0" collapsed="false">
      <c r="A55" s="1" t="s">
        <v>406</v>
      </c>
      <c r="B55" s="1" t="n">
        <v>0</v>
      </c>
      <c r="C55" s="1" t="n">
        <v>0.30165220293725</v>
      </c>
      <c r="D55" s="1" t="n">
        <v>1</v>
      </c>
      <c r="E55" s="1" t="n">
        <v>0.844</v>
      </c>
      <c r="F55" s="1" t="n">
        <v>19.4</v>
      </c>
      <c r="G55" s="1" t="n">
        <v>100</v>
      </c>
      <c r="H55" s="1" t="n">
        <v>7</v>
      </c>
      <c r="I55" s="1" t="n">
        <v>74.9</v>
      </c>
      <c r="J55" s="1" t="n">
        <v>17.9</v>
      </c>
      <c r="K55" s="1" t="n">
        <v>62.4</v>
      </c>
      <c r="L55" s="1" t="n">
        <v>0.5266</v>
      </c>
      <c r="M55" s="1" t="n">
        <v>1</v>
      </c>
      <c r="N55" s="1" t="n">
        <v>0</v>
      </c>
      <c r="O55" s="1" t="n">
        <v>1</v>
      </c>
      <c r="P55" s="1" t="n">
        <v>4</v>
      </c>
      <c r="Q55" s="1" t="n">
        <v>16</v>
      </c>
      <c r="R55" s="1" t="n">
        <v>11.41</v>
      </c>
      <c r="S55" s="1" t="n">
        <v>0.727</v>
      </c>
      <c r="T55" s="1" t="n">
        <v>377</v>
      </c>
      <c r="V55" s="57" t="n">
        <f aca="false">X55/Y55</f>
        <v>0.311475409836066</v>
      </c>
      <c r="W55" s="1" t="n">
        <f aca="false">N55*M55</f>
        <v>0</v>
      </c>
      <c r="X55" s="1" t="n">
        <v>11.4</v>
      </c>
      <c r="Y55" s="1" t="n">
        <v>36.6</v>
      </c>
      <c r="Z55" s="1" t="n">
        <f aca="false">I55-K55</f>
        <v>12.5</v>
      </c>
    </row>
    <row r="56" customFormat="false" ht="12.75" hidden="false" customHeight="false" outlineLevel="0" collapsed="false">
      <c r="A56" s="1" t="s">
        <v>81</v>
      </c>
      <c r="B56" s="1" t="n">
        <v>3</v>
      </c>
      <c r="C56" s="1" t="n">
        <v>0.257129</v>
      </c>
      <c r="D56" s="1" t="n">
        <v>3</v>
      </c>
      <c r="E56" s="1" t="n">
        <v>0.939</v>
      </c>
      <c r="F56" s="1" t="n">
        <v>21.6</v>
      </c>
      <c r="G56" s="1" t="n">
        <v>85.7</v>
      </c>
      <c r="H56" s="1" t="n">
        <v>9</v>
      </c>
      <c r="I56" s="1" t="n">
        <v>74.6</v>
      </c>
      <c r="J56" s="1" t="n">
        <v>18.5</v>
      </c>
      <c r="K56" s="1" t="n">
        <v>60.4</v>
      </c>
      <c r="L56" s="1" t="n">
        <v>0.5728</v>
      </c>
      <c r="M56" s="1" t="n">
        <v>0</v>
      </c>
      <c r="N56" s="1" t="n">
        <v>1</v>
      </c>
      <c r="O56" s="1" t="n">
        <v>9</v>
      </c>
      <c r="P56" s="1" t="n">
        <v>4</v>
      </c>
      <c r="Q56" s="1" t="n">
        <v>17</v>
      </c>
      <c r="R56" s="1" t="n">
        <v>21.41</v>
      </c>
      <c r="S56" s="1" t="n">
        <v>0.691</v>
      </c>
      <c r="T56" s="1" t="n">
        <v>389</v>
      </c>
      <c r="U56" s="1" t="n">
        <v>22312</v>
      </c>
      <c r="V56" s="57" t="n">
        <f aca="false">X56/Y56</f>
        <v>0.359773371104816</v>
      </c>
      <c r="W56" s="1" t="n">
        <f aca="false">N56*M56</f>
        <v>0</v>
      </c>
      <c r="X56" s="1" t="n">
        <v>12.7</v>
      </c>
      <c r="Y56" s="1" t="n">
        <v>35.3</v>
      </c>
      <c r="Z56" s="1" t="n">
        <f aca="false">I56-K56</f>
        <v>14.2</v>
      </c>
    </row>
    <row r="57" customFormat="false" ht="12.75" hidden="false" customHeight="false" outlineLevel="0" collapsed="false">
      <c r="A57" s="1" t="s">
        <v>202</v>
      </c>
      <c r="B57" s="1" t="n">
        <v>0</v>
      </c>
      <c r="C57" s="1" t="n">
        <v>0.28778</v>
      </c>
      <c r="D57" s="1" t="n">
        <v>3</v>
      </c>
      <c r="E57" s="1" t="n">
        <v>0.774</v>
      </c>
      <c r="F57" s="1" t="n">
        <v>8.9</v>
      </c>
      <c r="G57" s="1" t="n">
        <v>87.5</v>
      </c>
      <c r="H57" s="1" t="n">
        <v>8</v>
      </c>
      <c r="I57" s="1" t="n">
        <v>76</v>
      </c>
      <c r="J57" s="1" t="n">
        <v>18.1</v>
      </c>
      <c r="K57" s="1" t="n">
        <v>69.9</v>
      </c>
      <c r="L57" s="1" t="n">
        <v>0.5304</v>
      </c>
      <c r="M57" s="1" t="n">
        <v>0</v>
      </c>
      <c r="N57" s="1" t="n">
        <v>0</v>
      </c>
      <c r="O57" s="1" t="n">
        <v>4</v>
      </c>
      <c r="P57" s="1" t="n">
        <v>5</v>
      </c>
      <c r="Q57" s="1" t="n">
        <v>18</v>
      </c>
      <c r="R57" s="1" t="n">
        <v>11.23</v>
      </c>
      <c r="S57" s="1" t="n">
        <v>0.718</v>
      </c>
      <c r="T57" s="1" t="n">
        <v>401</v>
      </c>
      <c r="V57" s="57" t="n">
        <f aca="false">X57/Y57</f>
        <v>0.3</v>
      </c>
      <c r="W57" s="1" t="n">
        <f aca="false">N57*M57</f>
        <v>0</v>
      </c>
      <c r="X57" s="1" t="n">
        <v>10.5</v>
      </c>
      <c r="Y57" s="1" t="n">
        <v>35</v>
      </c>
      <c r="Z57" s="1" t="n">
        <f aca="false">I57-K57</f>
        <v>6.09999999999999</v>
      </c>
    </row>
    <row r="58" customFormat="false" ht="12.75" hidden="false" customHeight="false" outlineLevel="0" collapsed="false">
      <c r="A58" s="1" t="s">
        <v>33</v>
      </c>
      <c r="B58" s="1" t="n">
        <v>0</v>
      </c>
      <c r="C58" s="1" t="n">
        <v>0.236289</v>
      </c>
      <c r="D58" s="1" t="n">
        <v>3</v>
      </c>
      <c r="E58" s="1" t="n">
        <v>0.606</v>
      </c>
      <c r="F58" s="1" t="n">
        <v>9.3</v>
      </c>
      <c r="G58" s="1" t="n">
        <v>22.2</v>
      </c>
      <c r="H58" s="1" t="n">
        <v>6</v>
      </c>
      <c r="I58" s="1" t="n">
        <v>73.1</v>
      </c>
      <c r="J58" s="1" t="n">
        <v>18.7</v>
      </c>
      <c r="K58" s="1" t="n">
        <v>66.8</v>
      </c>
      <c r="L58" s="1" t="n">
        <v>0.587</v>
      </c>
      <c r="M58" s="1" t="n">
        <v>0</v>
      </c>
      <c r="N58" s="1" t="n">
        <v>1</v>
      </c>
      <c r="O58" s="1" t="n">
        <v>3</v>
      </c>
      <c r="P58" s="1" t="n">
        <v>7</v>
      </c>
      <c r="Q58" s="1" t="n">
        <v>11</v>
      </c>
      <c r="R58" s="1" t="n">
        <v>14.67</v>
      </c>
      <c r="S58" s="1" t="n">
        <v>0.731</v>
      </c>
      <c r="T58" s="1" t="n">
        <v>426</v>
      </c>
      <c r="U58" s="1" t="n">
        <v>13669</v>
      </c>
      <c r="V58" s="57" t="n">
        <f aca="false">X58/Y58</f>
        <v>0.370165745856354</v>
      </c>
      <c r="W58" s="1" t="n">
        <f aca="false">N58*M58</f>
        <v>0</v>
      </c>
      <c r="X58" s="1" t="n">
        <v>13.4</v>
      </c>
      <c r="Y58" s="1" t="n">
        <v>36.2</v>
      </c>
      <c r="Z58" s="1" t="n">
        <f aca="false">I58-K58</f>
        <v>6.3</v>
      </c>
    </row>
    <row r="59" customFormat="false" ht="12.75" hidden="false" customHeight="false" outlineLevel="0" collapsed="false">
      <c r="A59" s="1" t="s">
        <v>378</v>
      </c>
      <c r="B59" s="1" t="n">
        <v>0</v>
      </c>
      <c r="C59" s="1" t="n">
        <v>0.324411</v>
      </c>
      <c r="D59" s="1" t="n">
        <v>2</v>
      </c>
      <c r="E59" s="1" t="n">
        <v>0.765</v>
      </c>
      <c r="F59" s="1" t="n">
        <v>15.3</v>
      </c>
      <c r="G59" s="1" t="n">
        <v>55.6</v>
      </c>
      <c r="H59" s="1" t="n">
        <v>5</v>
      </c>
      <c r="I59" s="1" t="n">
        <v>76.7</v>
      </c>
      <c r="J59" s="1" t="n">
        <v>20.6</v>
      </c>
      <c r="K59" s="1" t="n">
        <v>65.9</v>
      </c>
      <c r="L59" s="1" t="n">
        <v>0.569</v>
      </c>
      <c r="M59" s="1" t="n">
        <v>0</v>
      </c>
      <c r="N59" s="1" t="n">
        <v>0</v>
      </c>
      <c r="O59" s="1" t="n">
        <v>5</v>
      </c>
      <c r="P59" s="1" t="n">
        <v>6</v>
      </c>
      <c r="Q59" s="1" t="n">
        <v>20</v>
      </c>
      <c r="R59" s="1" t="n">
        <v>14.44</v>
      </c>
      <c r="S59" s="1" t="n">
        <v>0.679</v>
      </c>
      <c r="T59" s="1" t="n">
        <v>466</v>
      </c>
      <c r="U59" s="1" t="n">
        <v>13253</v>
      </c>
      <c r="V59" s="57" t="n">
        <f aca="false">X59/Y59</f>
        <v>0.306878306878307</v>
      </c>
      <c r="W59" s="1" t="n">
        <f aca="false">N59*M59</f>
        <v>0</v>
      </c>
      <c r="X59" s="1" t="n">
        <v>11.6</v>
      </c>
      <c r="Y59" s="1" t="n">
        <v>37.8</v>
      </c>
      <c r="Z59" s="1" t="n">
        <f aca="false">I59-K59</f>
        <v>10.8</v>
      </c>
    </row>
    <row r="60" customFormat="false" ht="12.75" hidden="false" customHeight="false" outlineLevel="0" collapsed="false">
      <c r="A60" s="1" t="s">
        <v>407</v>
      </c>
      <c r="B60" s="1" t="n">
        <v>1</v>
      </c>
      <c r="C60" s="1" t="n">
        <v>0.278515</v>
      </c>
      <c r="D60" s="1" t="n">
        <v>0</v>
      </c>
      <c r="E60" s="1" t="n">
        <v>0.606</v>
      </c>
      <c r="F60" s="1" t="n">
        <v>3.9</v>
      </c>
      <c r="G60" s="1" t="n">
        <v>50</v>
      </c>
      <c r="H60" s="1" t="n">
        <v>6</v>
      </c>
      <c r="I60" s="1" t="n">
        <v>59.2</v>
      </c>
      <c r="J60" s="1" t="n">
        <v>22.7</v>
      </c>
      <c r="K60" s="1" t="n">
        <v>56.9</v>
      </c>
      <c r="L60" s="1" t="n">
        <v>0.5834</v>
      </c>
      <c r="M60" s="1" t="n">
        <v>0</v>
      </c>
      <c r="N60" s="1" t="n">
        <v>1</v>
      </c>
      <c r="O60" s="1" t="n">
        <v>3</v>
      </c>
      <c r="P60" s="1" t="n">
        <v>9</v>
      </c>
      <c r="Q60" s="1" t="n">
        <v>18</v>
      </c>
      <c r="R60" s="1" t="n">
        <v>8.65</v>
      </c>
      <c r="S60" s="1" t="n">
        <v>0.705</v>
      </c>
      <c r="T60" s="1" t="n">
        <v>485</v>
      </c>
      <c r="V60" s="57" t="n">
        <f aca="false">X60/Y60</f>
        <v>0.306122448979592</v>
      </c>
      <c r="W60" s="1" t="n">
        <f aca="false">N60*M60</f>
        <v>0</v>
      </c>
      <c r="X60" s="1" t="n">
        <v>10.5</v>
      </c>
      <c r="Y60" s="1" t="n">
        <v>34.3</v>
      </c>
      <c r="Z60" s="1" t="n">
        <f aca="false">I60-K60</f>
        <v>2.3</v>
      </c>
    </row>
    <row r="61" customFormat="false" ht="12.75" hidden="false" customHeight="false" outlineLevel="0" collapsed="false">
      <c r="A61" s="1" t="s">
        <v>133</v>
      </c>
      <c r="B61" s="1" t="n">
        <v>1</v>
      </c>
      <c r="C61" s="1" t="n">
        <v>0.358655</v>
      </c>
      <c r="D61" s="1" t="n">
        <v>2</v>
      </c>
      <c r="E61" s="1" t="n">
        <v>0.706</v>
      </c>
      <c r="F61" s="1" t="n">
        <v>11.9</v>
      </c>
      <c r="G61" s="1" t="n">
        <v>50</v>
      </c>
      <c r="H61" s="1" t="n">
        <v>7</v>
      </c>
      <c r="I61" s="1" t="n">
        <v>72.9</v>
      </c>
      <c r="J61" s="1" t="n">
        <v>19.8</v>
      </c>
      <c r="K61" s="1" t="n">
        <v>65</v>
      </c>
      <c r="L61" s="1" t="n">
        <v>0.5809</v>
      </c>
      <c r="M61" s="1" t="n">
        <v>0</v>
      </c>
      <c r="N61" s="1" t="n">
        <v>1</v>
      </c>
      <c r="O61" s="1" t="n">
        <v>4</v>
      </c>
      <c r="P61" s="1" t="n">
        <v>6</v>
      </c>
      <c r="Q61" s="1" t="n">
        <v>23</v>
      </c>
      <c r="R61" s="1" t="n">
        <v>15.73</v>
      </c>
      <c r="S61" s="1" t="n">
        <v>0.701</v>
      </c>
      <c r="T61" s="1" t="n">
        <v>465</v>
      </c>
      <c r="U61" s="1" t="n">
        <v>13802</v>
      </c>
      <c r="V61" s="57" t="n">
        <f aca="false">X61/Y61</f>
        <v>0.302325581395349</v>
      </c>
      <c r="W61" s="1" t="n">
        <f aca="false">N61*M61</f>
        <v>0</v>
      </c>
      <c r="X61" s="1" t="n">
        <v>10.4</v>
      </c>
      <c r="Y61" s="1" t="n">
        <v>34.4</v>
      </c>
      <c r="Z61" s="1" t="n">
        <f aca="false">I61-K61</f>
        <v>7.90000000000001</v>
      </c>
    </row>
    <row r="62" customFormat="false" ht="12.75" hidden="false" customHeight="false" outlineLevel="0" collapsed="false">
      <c r="A62" s="1" t="s">
        <v>207</v>
      </c>
      <c r="B62" s="1" t="n">
        <v>1</v>
      </c>
      <c r="C62" s="1" t="n">
        <v>0.325077</v>
      </c>
      <c r="D62" s="1" t="n">
        <v>2</v>
      </c>
      <c r="E62" s="1" t="n">
        <v>0.824</v>
      </c>
      <c r="F62" s="1" t="n">
        <v>13.2</v>
      </c>
      <c r="G62" s="1" t="n">
        <v>80</v>
      </c>
      <c r="H62" s="1" t="n">
        <v>9</v>
      </c>
      <c r="I62" s="1" t="n">
        <v>68.4</v>
      </c>
      <c r="J62" s="1" t="n">
        <v>17.4</v>
      </c>
      <c r="K62" s="1" t="n">
        <v>59.8</v>
      </c>
      <c r="L62" s="1" t="n">
        <v>0.5384</v>
      </c>
      <c r="M62" s="1" t="n">
        <v>1</v>
      </c>
      <c r="N62" s="1" t="n">
        <v>0</v>
      </c>
      <c r="O62" s="1" t="n">
        <v>3</v>
      </c>
      <c r="P62" s="1" t="n">
        <v>1</v>
      </c>
      <c r="Q62" s="1" t="n">
        <v>15</v>
      </c>
      <c r="R62" s="1" t="n">
        <v>8.29</v>
      </c>
      <c r="S62" s="1" t="n">
        <v>0.685</v>
      </c>
      <c r="T62" s="1" t="n">
        <v>411</v>
      </c>
      <c r="V62" s="57" t="n">
        <f aca="false">X62/Y62</f>
        <v>0.367685589465449</v>
      </c>
      <c r="W62" s="1" t="n">
        <f aca="false">N62*M62</f>
        <v>0</v>
      </c>
      <c r="X62" s="1" t="n">
        <f aca="false">421/34</f>
        <v>12.38235294</v>
      </c>
      <c r="Y62" s="1" t="n">
        <f aca="false">1145/34</f>
        <v>33.67647059</v>
      </c>
      <c r="Z62" s="1" t="n">
        <f aca="false">I62-K62</f>
        <v>8.60000000000001</v>
      </c>
    </row>
    <row r="63" customFormat="false" ht="12.75" hidden="false" customHeight="false" outlineLevel="0" collapsed="false">
      <c r="A63" s="1" t="s">
        <v>134</v>
      </c>
      <c r="B63" s="1" t="n">
        <v>0</v>
      </c>
      <c r="C63" s="1" t="n">
        <v>0.241597</v>
      </c>
      <c r="D63" s="1" t="n">
        <v>1</v>
      </c>
      <c r="E63" s="1" t="n">
        <v>0.676</v>
      </c>
      <c r="F63" s="1" t="n">
        <v>10.6</v>
      </c>
      <c r="G63" s="1" t="n">
        <v>50</v>
      </c>
      <c r="H63" s="1" t="n">
        <v>9</v>
      </c>
      <c r="I63" s="1" t="n">
        <v>67.2</v>
      </c>
      <c r="J63" s="1" t="n">
        <v>19.4</v>
      </c>
      <c r="K63" s="1" t="n">
        <v>60.5</v>
      </c>
      <c r="L63" s="1" t="n">
        <v>0.4706</v>
      </c>
      <c r="M63" s="1" t="n">
        <v>1</v>
      </c>
      <c r="N63" s="1" t="n">
        <v>0</v>
      </c>
      <c r="O63" s="1" t="n">
        <v>0</v>
      </c>
      <c r="P63" s="1" t="n">
        <v>4</v>
      </c>
      <c r="Q63" s="1" t="n">
        <v>14</v>
      </c>
      <c r="R63" s="1" t="n">
        <v>0.61</v>
      </c>
      <c r="S63" s="1" t="n">
        <v>0.739</v>
      </c>
      <c r="T63" s="1" t="n">
        <v>445</v>
      </c>
      <c r="V63" s="57" t="n">
        <f aca="false">X63/Y63</f>
        <v>0.312811980018688</v>
      </c>
      <c r="W63" s="1" t="n">
        <f aca="false">N63*M63</f>
        <v>0</v>
      </c>
      <c r="X63" s="1" t="n">
        <f aca="false">376/34</f>
        <v>11.05882353</v>
      </c>
      <c r="Y63" s="1" t="n">
        <f aca="false">1202/34</f>
        <v>35.35294118</v>
      </c>
      <c r="Z63" s="1" t="n">
        <f aca="false">I63-K63</f>
        <v>6.7</v>
      </c>
    </row>
    <row r="64" customFormat="false" ht="12.75" hidden="false" customHeight="false" outlineLevel="0" collapsed="false">
      <c r="A64" s="1" t="s">
        <v>20</v>
      </c>
      <c r="B64" s="1" t="n">
        <v>0</v>
      </c>
      <c r="C64" s="1" t="n">
        <v>0.233117</v>
      </c>
      <c r="D64" s="1" t="n">
        <v>0</v>
      </c>
      <c r="E64" s="1" t="n">
        <v>0.71</v>
      </c>
      <c r="F64" s="1" t="n">
        <v>15.3</v>
      </c>
      <c r="G64" s="1" t="n">
        <v>46.1</v>
      </c>
      <c r="H64" s="1" t="n">
        <v>4</v>
      </c>
      <c r="I64" s="1" t="n">
        <v>63.1</v>
      </c>
      <c r="J64" s="1" t="n">
        <v>18.6</v>
      </c>
      <c r="K64" s="1" t="n">
        <v>53.7</v>
      </c>
      <c r="L64" s="1" t="n">
        <v>0.5259</v>
      </c>
      <c r="M64" s="1" t="n">
        <v>0</v>
      </c>
      <c r="N64" s="1" t="n">
        <v>1</v>
      </c>
      <c r="O64" s="1" t="n">
        <v>0</v>
      </c>
      <c r="P64" s="1" t="n">
        <v>6</v>
      </c>
      <c r="Q64" s="1" t="n">
        <v>16</v>
      </c>
      <c r="R64" s="1" t="n">
        <v>13.54</v>
      </c>
      <c r="S64" s="1" t="n">
        <v>0.722</v>
      </c>
      <c r="T64" s="1" t="n">
        <v>367</v>
      </c>
      <c r="V64" s="57" t="n">
        <f aca="false">X64/Y64</f>
        <v>0.249255213502038</v>
      </c>
      <c r="W64" s="1" t="n">
        <f aca="false">N64*M64</f>
        <v>0</v>
      </c>
      <c r="X64" s="1" t="n">
        <f aca="false">251/31</f>
        <v>8.096774194</v>
      </c>
      <c r="Y64" s="1" t="n">
        <f aca="false">1007/31</f>
        <v>32.48387097</v>
      </c>
      <c r="Z64" s="1" t="n">
        <f aca="false">I64-K64</f>
        <v>9.4</v>
      </c>
    </row>
    <row r="65" customFormat="false" ht="12.75" hidden="false" customHeight="false" outlineLevel="0" collapsed="false">
      <c r="A65" s="1" t="s">
        <v>58</v>
      </c>
      <c r="B65" s="1" t="n">
        <v>0</v>
      </c>
      <c r="C65" s="1" t="n">
        <v>0.2239</v>
      </c>
      <c r="D65" s="1" t="n">
        <v>3</v>
      </c>
      <c r="E65" s="1" t="n">
        <v>0.594</v>
      </c>
      <c r="F65" s="1" t="n">
        <v>8.2</v>
      </c>
      <c r="G65" s="1" t="n">
        <v>40</v>
      </c>
      <c r="H65" s="1" t="n">
        <v>4</v>
      </c>
      <c r="I65" s="1" t="n">
        <v>71.6</v>
      </c>
      <c r="J65" s="1" t="n">
        <v>19.3</v>
      </c>
      <c r="K65" s="1" t="n">
        <v>66.2</v>
      </c>
      <c r="L65" s="1" t="n">
        <v>0.605</v>
      </c>
      <c r="M65" s="1" t="n">
        <v>0</v>
      </c>
      <c r="N65" s="1" t="n">
        <v>1</v>
      </c>
      <c r="O65" s="1" t="n">
        <v>3</v>
      </c>
      <c r="P65" s="1" t="n">
        <v>4</v>
      </c>
      <c r="Q65" s="1" t="n">
        <v>14</v>
      </c>
      <c r="R65" s="1" t="n">
        <v>13.1</v>
      </c>
      <c r="S65" s="1" t="n">
        <v>0.671</v>
      </c>
      <c r="T65" s="1" t="n">
        <v>422</v>
      </c>
      <c r="V65" s="57" t="n">
        <f aca="false">X65/Y65</f>
        <v>0.391375101708706</v>
      </c>
      <c r="W65" s="1" t="n">
        <f aca="false">N65*M65</f>
        <v>0</v>
      </c>
      <c r="X65" s="1" t="n">
        <f aca="false">481/32</f>
        <v>15.03125</v>
      </c>
      <c r="Y65" s="1" t="n">
        <f aca="false">1229/32</f>
        <v>38.40625</v>
      </c>
      <c r="Z65" s="1" t="n">
        <f aca="false">I65-K65</f>
        <v>5.39999999999999</v>
      </c>
    </row>
    <row r="66" customFormat="false" ht="12.75" hidden="false" customHeight="false" outlineLevel="0" collapsed="false">
      <c r="A66" s="1" t="s">
        <v>379</v>
      </c>
      <c r="B66" s="1" t="n">
        <v>0</v>
      </c>
      <c r="C66" s="1" t="n">
        <v>0.261137</v>
      </c>
      <c r="D66" s="1" t="n">
        <v>1</v>
      </c>
      <c r="E66" s="1" t="n">
        <v>0.455</v>
      </c>
      <c r="F66" s="1" t="n">
        <v>-4.3</v>
      </c>
      <c r="G66" s="1" t="n">
        <v>61.5</v>
      </c>
      <c r="H66" s="1" t="n">
        <v>7</v>
      </c>
      <c r="I66" s="1" t="n">
        <v>65.1</v>
      </c>
      <c r="J66" s="1" t="n">
        <v>21.9</v>
      </c>
      <c r="K66" s="1" t="n">
        <v>68</v>
      </c>
      <c r="L66" s="1" t="n">
        <v>0.4779</v>
      </c>
      <c r="M66" s="1" t="n">
        <v>1</v>
      </c>
      <c r="N66" s="1" t="n">
        <v>0</v>
      </c>
      <c r="O66" s="1" t="n">
        <v>0</v>
      </c>
      <c r="P66" s="1" t="n">
        <v>3</v>
      </c>
      <c r="Q66" s="1" t="n">
        <v>11</v>
      </c>
      <c r="R66" s="1" t="n">
        <v>-2.69</v>
      </c>
      <c r="S66" s="1" t="n">
        <v>0.687</v>
      </c>
      <c r="T66" s="1" t="n">
        <v>534</v>
      </c>
      <c r="V66" s="57" t="n">
        <f aca="false">X66/Y66</f>
        <v>0.348817567690918</v>
      </c>
      <c r="W66" s="1" t="n">
        <f aca="false">N66*M66</f>
        <v>0</v>
      </c>
      <c r="X66" s="1" t="n">
        <f aca="false">413/33</f>
        <v>12.51515152</v>
      </c>
      <c r="Y66" s="1" t="n">
        <f aca="false">1184/33</f>
        <v>35.87878788</v>
      </c>
      <c r="Z66" s="1" t="n">
        <f aca="false">I66-K66</f>
        <v>-2.90000000000001</v>
      </c>
    </row>
    <row r="67" customFormat="false" ht="12.75" hidden="false" customHeight="false" outlineLevel="0" collapsed="false">
      <c r="A67" s="1" t="s">
        <v>210</v>
      </c>
      <c r="B67" s="1" t="n">
        <v>0</v>
      </c>
      <c r="C67" s="1" t="n">
        <v>0.271477</v>
      </c>
      <c r="D67" s="1" t="n">
        <v>0</v>
      </c>
      <c r="E67" s="1" t="n">
        <v>0.844</v>
      </c>
      <c r="F67" s="1" t="n">
        <v>21.9</v>
      </c>
      <c r="G67" s="1" t="n">
        <v>62.5</v>
      </c>
      <c r="H67" s="1" t="n">
        <v>9</v>
      </c>
      <c r="I67" s="1" t="n">
        <v>77.7</v>
      </c>
      <c r="J67" s="1" t="n">
        <v>17.9</v>
      </c>
      <c r="K67" s="1" t="n">
        <v>62.4</v>
      </c>
      <c r="L67" s="1" t="n">
        <v>0.5237</v>
      </c>
      <c r="M67" s="1" t="n">
        <v>0</v>
      </c>
      <c r="N67" s="1" t="n">
        <v>0</v>
      </c>
      <c r="O67" s="1" t="n">
        <v>3</v>
      </c>
      <c r="P67" s="1" t="n">
        <v>3</v>
      </c>
      <c r="Q67" s="1" t="n">
        <v>23</v>
      </c>
      <c r="R67" s="1" t="n">
        <v>4.14</v>
      </c>
      <c r="S67" s="1" t="n">
        <v>0.748</v>
      </c>
      <c r="T67" s="1" t="n">
        <v>403</v>
      </c>
      <c r="V67" s="57" t="n">
        <f aca="false">X67/Y67</f>
        <v>0.285127362366475</v>
      </c>
      <c r="W67" s="1" t="n">
        <f aca="false">N67*M67</f>
        <v>0</v>
      </c>
      <c r="X67" s="1" t="n">
        <f aca="false">347/32</f>
        <v>10.84375</v>
      </c>
      <c r="Y67" s="1" t="n">
        <f aca="false">1217/32</f>
        <v>38.03125</v>
      </c>
      <c r="Z67" s="1" t="n">
        <f aca="false">I67-K67</f>
        <v>15.3</v>
      </c>
    </row>
    <row r="68" customFormat="false" ht="12.75" hidden="false" customHeight="false" outlineLevel="0" collapsed="false">
      <c r="A68" s="1" t="s">
        <v>138</v>
      </c>
      <c r="B68" s="1" t="n">
        <v>2</v>
      </c>
      <c r="C68" s="1" t="n">
        <v>0.357092</v>
      </c>
      <c r="D68" s="1" t="n">
        <v>3</v>
      </c>
      <c r="E68" s="1" t="n">
        <v>0.727</v>
      </c>
      <c r="F68" s="1" t="n">
        <v>18.6</v>
      </c>
      <c r="G68" s="1" t="n">
        <v>62.5</v>
      </c>
      <c r="H68" s="1" t="n">
        <v>6</v>
      </c>
      <c r="I68" s="1" t="n">
        <v>63.9</v>
      </c>
      <c r="J68" s="1" t="n">
        <v>15.1</v>
      </c>
      <c r="K68" s="1" t="n">
        <v>52.9</v>
      </c>
      <c r="L68" s="1" t="n">
        <v>0.574</v>
      </c>
      <c r="M68" s="1" t="n">
        <v>0</v>
      </c>
      <c r="N68" s="1" t="n">
        <v>1</v>
      </c>
      <c r="O68" s="1" t="n">
        <v>3</v>
      </c>
      <c r="P68" s="1" t="n">
        <v>4</v>
      </c>
      <c r="Q68" s="1" t="n">
        <v>17</v>
      </c>
      <c r="R68" s="1" t="n">
        <v>19.23</v>
      </c>
      <c r="S68" s="1" t="n">
        <v>0.739</v>
      </c>
      <c r="T68" s="1" t="n">
        <v>320</v>
      </c>
      <c r="U68" s="1" t="n">
        <v>17230</v>
      </c>
      <c r="V68" s="57" t="n">
        <f aca="false">X68/Y68</f>
        <v>0.286995515677946</v>
      </c>
      <c r="W68" s="1" t="n">
        <f aca="false">N68*M68</f>
        <v>0</v>
      </c>
      <c r="X68" s="1" t="n">
        <f aca="false">320/33</f>
        <v>9.696969697</v>
      </c>
      <c r="Y68" s="1" t="n">
        <f aca="false">1115/33</f>
        <v>33.78787879</v>
      </c>
      <c r="Z68" s="1" t="n">
        <f aca="false">I68-K68</f>
        <v>11</v>
      </c>
    </row>
    <row r="69" customFormat="false" ht="12.75" hidden="false" customHeight="false" outlineLevel="0" collapsed="false">
      <c r="A69" s="1" t="s">
        <v>36</v>
      </c>
      <c r="B69" s="1" t="n">
        <v>2</v>
      </c>
      <c r="C69" s="1" t="n">
        <v>0.209064</v>
      </c>
      <c r="D69" s="1" t="n">
        <v>3</v>
      </c>
      <c r="E69" s="1" t="n">
        <v>0.636</v>
      </c>
      <c r="F69" s="1" t="n">
        <v>4.8</v>
      </c>
      <c r="G69" s="1" t="n">
        <v>66.6</v>
      </c>
      <c r="H69" s="1" t="n">
        <v>6</v>
      </c>
      <c r="I69" s="1" t="n">
        <v>70.8</v>
      </c>
      <c r="J69" s="1" t="n">
        <v>18.6</v>
      </c>
      <c r="K69" s="1" t="n">
        <v>67.5</v>
      </c>
      <c r="L69" s="1" t="n">
        <v>0.5504</v>
      </c>
      <c r="M69" s="1" t="n">
        <v>0</v>
      </c>
      <c r="N69" s="1" t="n">
        <v>0</v>
      </c>
      <c r="O69" s="1" t="n">
        <v>3</v>
      </c>
      <c r="P69" s="1" t="n">
        <v>4</v>
      </c>
      <c r="Q69" s="1" t="n">
        <v>19</v>
      </c>
      <c r="R69" s="1" t="n">
        <v>9.33</v>
      </c>
      <c r="S69" s="1" t="n">
        <v>0.656</v>
      </c>
      <c r="T69" s="1" t="n">
        <v>448</v>
      </c>
      <c r="V69" s="57" t="n">
        <f aca="false">X69/Y69</f>
        <v>0.294117647058823</v>
      </c>
      <c r="W69" s="1" t="n">
        <f aca="false">N69*M69</f>
        <v>0</v>
      </c>
      <c r="X69" s="1" t="n">
        <f aca="false">345/32</f>
        <v>10.78125</v>
      </c>
      <c r="Y69" s="1" t="n">
        <f aca="false">1173/32</f>
        <v>36.65625</v>
      </c>
      <c r="Z69" s="1" t="n">
        <f aca="false">I69-K69</f>
        <v>3.3</v>
      </c>
    </row>
    <row r="70" customFormat="false" ht="12.75" hidden="false" customHeight="false" outlineLevel="0" collapsed="false">
      <c r="U70" s="2" t="s">
        <v>408</v>
      </c>
    </row>
    <row r="71" customFormat="false" ht="12.75" hidden="false" customHeight="false" outlineLevel="0" collapsed="false">
      <c r="U71" s="1" t="s">
        <v>409</v>
      </c>
    </row>
    <row r="77" customFormat="false" ht="12.75" hidden="false" customHeight="false" outlineLevel="0" collapsed="false">
      <c r="S77" s="1" t="s">
        <v>89</v>
      </c>
    </row>
    <row r="79" customFormat="false" ht="12.75" hidden="false" customHeight="false" outlineLevel="0" collapsed="false">
      <c r="S79" s="1" t="s">
        <v>410</v>
      </c>
    </row>
    <row r="81" customFormat="false" ht="12.75" hidden="false" customHeight="false" outlineLevel="0" collapsed="false">
      <c r="S81" s="1" t="s">
        <v>411</v>
      </c>
    </row>
    <row r="83" customFormat="false" ht="12.75" hidden="false" customHeight="false" outlineLevel="0" collapsed="false">
      <c r="S83" s="1" t="s">
        <v>89</v>
      </c>
    </row>
    <row r="87" customFormat="false" ht="12.75" hidden="false" customHeight="false" outlineLevel="0" collapsed="false">
      <c r="S87" s="1" t="s">
        <v>412</v>
      </c>
    </row>
    <row r="89" customFormat="false" ht="12.75" hidden="false" customHeight="false" outlineLevel="0" collapsed="false">
      <c r="S89" s="1" t="s">
        <v>413</v>
      </c>
    </row>
    <row r="91" customFormat="false" ht="12.75" hidden="false" customHeight="false" outlineLevel="0" collapsed="false">
      <c r="S91" s="1" t="s">
        <v>414</v>
      </c>
    </row>
    <row r="93" customFormat="false" ht="12.75" hidden="false" customHeight="false" outlineLevel="0" collapsed="false">
      <c r="S93" s="1" t="s">
        <v>415</v>
      </c>
    </row>
    <row r="95" customFormat="false" ht="12.75" hidden="false" customHeight="false" outlineLevel="0" collapsed="false">
      <c r="S95" s="1" t="s">
        <v>416</v>
      </c>
    </row>
    <row r="97" customFormat="false" ht="12.75" hidden="false" customHeight="false" outlineLevel="0" collapsed="false">
      <c r="S97" s="1" t="s">
        <v>417</v>
      </c>
    </row>
    <row r="99" customFormat="false" ht="12.75" hidden="false" customHeight="false" outlineLevel="0" collapsed="false">
      <c r="S99" s="1" t="s">
        <v>416</v>
      </c>
    </row>
    <row r="101" customFormat="false" ht="12.75" hidden="false" customHeight="false" outlineLevel="0" collapsed="false">
      <c r="S101" s="1" t="s">
        <v>417</v>
      </c>
    </row>
    <row r="103" customFormat="false" ht="12.75" hidden="false" customHeight="false" outlineLevel="0" collapsed="false">
      <c r="S103" s="1" t="s">
        <v>418</v>
      </c>
    </row>
    <row r="107" customFormat="false" ht="12.75" hidden="false" customHeight="false" outlineLevel="0" collapsed="false">
      <c r="S107" s="1" t="s">
        <v>89</v>
      </c>
    </row>
    <row r="109" customFormat="false" ht="12.75" hidden="false" customHeight="false" outlineLevel="0" collapsed="false">
      <c r="S109" s="1" t="s">
        <v>57</v>
      </c>
    </row>
    <row r="111" customFormat="false" ht="12.75" hidden="false" customHeight="false" outlineLevel="0" collapsed="false">
      <c r="S111" s="1" t="n">
        <v>32</v>
      </c>
    </row>
    <row r="113" customFormat="false" ht="12.75" hidden="false" customHeight="false" outlineLevel="0" collapsed="false">
      <c r="S113" s="1" t="n">
        <v>64.9</v>
      </c>
    </row>
    <row r="115" customFormat="false" ht="12.75" hidden="false" customHeight="false" outlineLevel="0" collapsed="false">
      <c r="S115" s="1" t="n">
        <v>13.7</v>
      </c>
    </row>
    <row r="117" customFormat="false" ht="12.75" hidden="false" customHeight="false" outlineLevel="0" collapsed="false">
      <c r="S117" s="1" t="n">
        <v>19.1</v>
      </c>
    </row>
    <row r="119" customFormat="false" ht="12.75" hidden="false" customHeight="false" outlineLevel="0" collapsed="false">
      <c r="S119" s="1" t="n">
        <v>437</v>
      </c>
    </row>
    <row r="121" customFormat="false" ht="12.75" hidden="false" customHeight="false" outlineLevel="0" collapsed="false">
      <c r="S121" s="1" t="n">
        <v>611</v>
      </c>
    </row>
    <row r="123" customFormat="false" ht="12.75" hidden="false" customHeight="false" outlineLevel="0" collapsed="false">
      <c r="S123" s="1" t="n">
        <v>0.715</v>
      </c>
    </row>
    <row r="127" customFormat="false" ht="12.75" hidden="false" customHeight="false" outlineLevel="0" collapsed="false">
      <c r="S127" s="1" t="s">
        <v>89</v>
      </c>
    </row>
    <row r="129" customFormat="false" ht="12.75" hidden="false" customHeight="false" outlineLevel="0" collapsed="false">
      <c r="S129" s="1" t="s">
        <v>43</v>
      </c>
    </row>
    <row r="131" customFormat="false" ht="12.75" hidden="false" customHeight="false" outlineLevel="0" collapsed="false">
      <c r="S131" s="1" t="n">
        <v>31</v>
      </c>
    </row>
    <row r="133" customFormat="false" ht="12.75" hidden="false" customHeight="false" outlineLevel="0" collapsed="false">
      <c r="S133" s="1" t="n">
        <v>74</v>
      </c>
    </row>
    <row r="135" customFormat="false" ht="12.75" hidden="false" customHeight="false" outlineLevel="0" collapsed="false">
      <c r="S135" s="1" t="n">
        <v>17.7</v>
      </c>
    </row>
    <row r="137" customFormat="false" ht="12.75" hidden="false" customHeight="false" outlineLevel="0" collapsed="false">
      <c r="S137" s="1" t="n">
        <v>24.8</v>
      </c>
    </row>
    <row r="139" customFormat="false" ht="12.75" hidden="false" customHeight="false" outlineLevel="0" collapsed="false">
      <c r="S139" s="1" t="n">
        <v>549</v>
      </c>
    </row>
    <row r="141" customFormat="false" ht="12.75" hidden="false" customHeight="false" outlineLevel="0" collapsed="false">
      <c r="S141" s="1" t="n">
        <v>768</v>
      </c>
    </row>
    <row r="143" customFormat="false" ht="12.75" hidden="false" customHeight="false" outlineLevel="0" collapsed="false">
      <c r="S143" s="1" t="n">
        <v>0.715</v>
      </c>
    </row>
    <row r="147" customFormat="false" ht="12.75" hidden="false" customHeight="false" outlineLevel="0" collapsed="false">
      <c r="S147" s="1" t="s">
        <v>89</v>
      </c>
    </row>
    <row r="149" customFormat="false" ht="12.75" hidden="false" customHeight="false" outlineLevel="0" collapsed="false">
      <c r="S149" s="1" t="s">
        <v>363</v>
      </c>
    </row>
    <row r="151" customFormat="false" ht="12.75" hidden="false" customHeight="false" outlineLevel="0" collapsed="false">
      <c r="S151" s="1" t="n">
        <v>32</v>
      </c>
    </row>
    <row r="153" customFormat="false" ht="12.75" hidden="false" customHeight="false" outlineLevel="0" collapsed="false">
      <c r="S153" s="1" t="n">
        <v>65.6</v>
      </c>
    </row>
    <row r="155" customFormat="false" ht="12.75" hidden="false" customHeight="false" outlineLevel="0" collapsed="false">
      <c r="S155" s="1" t="n">
        <v>11.8</v>
      </c>
    </row>
    <row r="157" customFormat="false" ht="12.75" hidden="false" customHeight="false" outlineLevel="0" collapsed="false">
      <c r="S157" s="1" t="n">
        <v>16.5</v>
      </c>
    </row>
    <row r="159" customFormat="false" ht="12.75" hidden="false" customHeight="false" outlineLevel="0" collapsed="false">
      <c r="S159" s="1" t="n">
        <v>378</v>
      </c>
    </row>
    <row r="161" customFormat="false" ht="12.75" hidden="false" customHeight="false" outlineLevel="0" collapsed="false">
      <c r="S161" s="1" t="n">
        <v>529</v>
      </c>
    </row>
    <row r="163" customFormat="false" ht="12.75" hidden="false" customHeight="false" outlineLevel="0" collapsed="false">
      <c r="S163" s="1" t="n">
        <v>0.715</v>
      </c>
    </row>
    <row r="167" customFormat="false" ht="12.75" hidden="false" customHeight="false" outlineLevel="0" collapsed="false">
      <c r="S167" s="1" t="n">
        <v>94</v>
      </c>
    </row>
    <row r="169" customFormat="false" ht="12.75" hidden="false" customHeight="false" outlineLevel="0" collapsed="false">
      <c r="S169" s="1" t="s">
        <v>267</v>
      </c>
    </row>
    <row r="171" customFormat="false" ht="12.75" hidden="false" customHeight="false" outlineLevel="0" collapsed="false">
      <c r="S171" s="1" t="n">
        <v>33</v>
      </c>
    </row>
    <row r="173" customFormat="false" ht="12.75" hidden="false" customHeight="false" outlineLevel="0" collapsed="false">
      <c r="S173" s="1" t="n">
        <v>68.9</v>
      </c>
    </row>
    <row r="175" customFormat="false" ht="12.75" hidden="false" customHeight="false" outlineLevel="0" collapsed="false">
      <c r="S175" s="1" t="n">
        <v>15.6</v>
      </c>
    </row>
    <row r="177" customFormat="false" ht="12.75" hidden="false" customHeight="false" outlineLevel="0" collapsed="false">
      <c r="S177" s="1" t="n">
        <v>21.8</v>
      </c>
    </row>
    <row r="179" customFormat="false" ht="12.75" hidden="false" customHeight="false" outlineLevel="0" collapsed="false">
      <c r="S179" s="1" t="n">
        <v>515</v>
      </c>
    </row>
    <row r="181" customFormat="false" ht="12.75" hidden="false" customHeight="false" outlineLevel="0" collapsed="false">
      <c r="S181" s="1" t="n">
        <v>721</v>
      </c>
    </row>
    <row r="183" customFormat="false" ht="12.75" hidden="false" customHeight="false" outlineLevel="0" collapsed="false">
      <c r="S183" s="1" t="n">
        <v>0.714</v>
      </c>
    </row>
    <row r="187" customFormat="false" ht="12.75" hidden="false" customHeight="false" outlineLevel="0" collapsed="false">
      <c r="S187" s="1" t="s">
        <v>89</v>
      </c>
    </row>
    <row r="189" customFormat="false" ht="12.75" hidden="false" customHeight="false" outlineLevel="0" collapsed="false">
      <c r="S189" s="1" t="s">
        <v>419</v>
      </c>
    </row>
    <row r="191" customFormat="false" ht="12.75" hidden="false" customHeight="false" outlineLevel="0" collapsed="false">
      <c r="S191" s="1" t="n">
        <v>32</v>
      </c>
    </row>
    <row r="193" customFormat="false" ht="12.75" hidden="false" customHeight="false" outlineLevel="0" collapsed="false">
      <c r="S193" s="1" t="n">
        <v>66</v>
      </c>
    </row>
    <row r="195" customFormat="false" ht="12.75" hidden="false" customHeight="false" outlineLevel="0" collapsed="false">
      <c r="S195" s="1" t="n">
        <v>10.8</v>
      </c>
    </row>
    <row r="197" customFormat="false" ht="12.75" hidden="false" customHeight="false" outlineLevel="0" collapsed="false">
      <c r="S197" s="1" t="n">
        <v>15.1</v>
      </c>
    </row>
    <row r="199" customFormat="false" ht="12.75" hidden="false" customHeight="false" outlineLevel="0" collapsed="false">
      <c r="S199" s="1" t="n">
        <v>345</v>
      </c>
    </row>
    <row r="201" customFormat="false" ht="12.75" hidden="false" customHeight="false" outlineLevel="0" collapsed="false">
      <c r="S201" s="1" t="n">
        <v>483</v>
      </c>
    </row>
    <row r="203" customFormat="false" ht="12.75" hidden="false" customHeight="false" outlineLevel="0" collapsed="false">
      <c r="S203" s="1" t="n">
        <v>0.714</v>
      </c>
    </row>
    <row r="207" customFormat="false" ht="12.75" hidden="false" customHeight="false" outlineLevel="0" collapsed="false">
      <c r="S207" s="1" t="s">
        <v>89</v>
      </c>
    </row>
    <row r="209" customFormat="false" ht="12.75" hidden="false" customHeight="false" outlineLevel="0" collapsed="false">
      <c r="S209" s="1" t="s">
        <v>420</v>
      </c>
    </row>
    <row r="211" customFormat="false" ht="12.75" hidden="false" customHeight="false" outlineLevel="0" collapsed="false">
      <c r="S211" s="1" t="n">
        <v>31</v>
      </c>
    </row>
    <row r="213" customFormat="false" ht="12.75" hidden="false" customHeight="false" outlineLevel="0" collapsed="false">
      <c r="S213" s="1" t="n">
        <v>64.7</v>
      </c>
    </row>
    <row r="215" customFormat="false" ht="12.75" hidden="false" customHeight="false" outlineLevel="0" collapsed="false">
      <c r="S215" s="1" t="n">
        <v>14</v>
      </c>
    </row>
    <row r="217" customFormat="false" ht="12.75" hidden="false" customHeight="false" outlineLevel="0" collapsed="false">
      <c r="S217" s="1" t="n">
        <v>19.6</v>
      </c>
    </row>
    <row r="219" customFormat="false" ht="12.75" hidden="false" customHeight="false" outlineLevel="0" collapsed="false">
      <c r="S219" s="1" t="n">
        <v>434</v>
      </c>
    </row>
    <row r="221" customFormat="false" ht="12.75" hidden="false" customHeight="false" outlineLevel="0" collapsed="false">
      <c r="S221" s="1" t="n">
        <v>608</v>
      </c>
    </row>
    <row r="223" customFormat="false" ht="12.75" hidden="false" customHeight="false" outlineLevel="0" collapsed="false">
      <c r="S223" s="1" t="n">
        <v>0.714</v>
      </c>
    </row>
    <row r="227" customFormat="false" ht="12.75" hidden="false" customHeight="false" outlineLevel="0" collapsed="false">
      <c r="S227" s="1" t="n">
        <v>97</v>
      </c>
    </row>
    <row r="229" customFormat="false" ht="12.75" hidden="false" customHeight="false" outlineLevel="0" collapsed="false">
      <c r="S229" s="1" t="s">
        <v>366</v>
      </c>
    </row>
    <row r="231" customFormat="false" ht="12.75" hidden="false" customHeight="false" outlineLevel="0" collapsed="false">
      <c r="S231" s="1" t="n">
        <v>32</v>
      </c>
    </row>
    <row r="233" customFormat="false" ht="12.75" hidden="false" customHeight="false" outlineLevel="0" collapsed="false">
      <c r="S233" s="1" t="n">
        <v>68.8</v>
      </c>
    </row>
    <row r="235" customFormat="false" ht="12.75" hidden="false" customHeight="false" outlineLevel="0" collapsed="false">
      <c r="S235" s="1" t="n">
        <v>14.2</v>
      </c>
    </row>
    <row r="237" customFormat="false" ht="12.75" hidden="false" customHeight="false" outlineLevel="0" collapsed="false">
      <c r="S237" s="1" t="n">
        <v>19.9</v>
      </c>
    </row>
    <row r="239" customFormat="false" ht="12.75" hidden="false" customHeight="false" outlineLevel="0" collapsed="false">
      <c r="S239" s="1" t="n">
        <v>454</v>
      </c>
    </row>
    <row r="241" customFormat="false" ht="12.75" hidden="false" customHeight="false" outlineLevel="0" collapsed="false">
      <c r="S241" s="1" t="n">
        <v>637</v>
      </c>
    </row>
    <row r="243" customFormat="false" ht="12.75" hidden="false" customHeight="false" outlineLevel="0" collapsed="false">
      <c r="S243" s="1" t="n">
        <v>0.713</v>
      </c>
    </row>
    <row r="247" customFormat="false" ht="12.75" hidden="false" customHeight="false" outlineLevel="0" collapsed="false">
      <c r="S247" s="1" t="n">
        <v>98</v>
      </c>
    </row>
    <row r="249" customFormat="false" ht="12.75" hidden="false" customHeight="false" outlineLevel="0" collapsed="false">
      <c r="S249" s="1" t="s">
        <v>421</v>
      </c>
    </row>
    <row r="251" customFormat="false" ht="12.75" hidden="false" customHeight="false" outlineLevel="0" collapsed="false">
      <c r="S251" s="1" t="n">
        <v>32</v>
      </c>
    </row>
    <row r="253" customFormat="false" ht="12.75" hidden="false" customHeight="false" outlineLevel="0" collapsed="false">
      <c r="S253" s="1" t="n">
        <v>70.3</v>
      </c>
    </row>
    <row r="255" customFormat="false" ht="12.75" hidden="false" customHeight="false" outlineLevel="0" collapsed="false">
      <c r="S255" s="1" t="n">
        <v>14.2</v>
      </c>
    </row>
    <row r="257" customFormat="false" ht="12.75" hidden="false" customHeight="false" outlineLevel="0" collapsed="false">
      <c r="S257" s="1" t="n">
        <v>20</v>
      </c>
    </row>
    <row r="259" customFormat="false" ht="12.75" hidden="false" customHeight="false" outlineLevel="0" collapsed="false">
      <c r="S259" s="1" t="n">
        <v>455</v>
      </c>
    </row>
    <row r="261" customFormat="false" ht="12.75" hidden="false" customHeight="false" outlineLevel="0" collapsed="false">
      <c r="S261" s="1" t="n">
        <v>639</v>
      </c>
    </row>
    <row r="263" customFormat="false" ht="12.75" hidden="false" customHeight="false" outlineLevel="0" collapsed="false">
      <c r="S263" s="1" t="n">
        <v>0.712</v>
      </c>
    </row>
    <row r="267" customFormat="false" ht="12.75" hidden="false" customHeight="false" outlineLevel="0" collapsed="false">
      <c r="S267" s="1" t="s">
        <v>89</v>
      </c>
    </row>
    <row r="269" customFormat="false" ht="12.75" hidden="false" customHeight="false" outlineLevel="0" collapsed="false">
      <c r="S269" s="1" t="s">
        <v>422</v>
      </c>
    </row>
    <row r="271" customFormat="false" ht="12.75" hidden="false" customHeight="false" outlineLevel="0" collapsed="false">
      <c r="S271" s="1" t="n">
        <v>30</v>
      </c>
    </row>
    <row r="273" customFormat="false" ht="12.75" hidden="false" customHeight="false" outlineLevel="0" collapsed="false">
      <c r="S273" s="1" t="n">
        <v>76.4</v>
      </c>
    </row>
    <row r="275" customFormat="false" ht="12.75" hidden="false" customHeight="false" outlineLevel="0" collapsed="false">
      <c r="S275" s="1" t="n">
        <v>15.2</v>
      </c>
    </row>
    <row r="277" customFormat="false" ht="12.75" hidden="false" customHeight="false" outlineLevel="0" collapsed="false">
      <c r="S277" s="1" t="n">
        <v>21.3</v>
      </c>
    </row>
    <row r="279" customFormat="false" ht="12.75" hidden="false" customHeight="false" outlineLevel="0" collapsed="false">
      <c r="S279" s="1" t="n">
        <v>455</v>
      </c>
    </row>
    <row r="281" customFormat="false" ht="12.75" hidden="false" customHeight="false" outlineLevel="0" collapsed="false">
      <c r="S281" s="1" t="n">
        <v>639</v>
      </c>
    </row>
    <row r="283" customFormat="false" ht="12.75" hidden="false" customHeight="false" outlineLevel="0" collapsed="false">
      <c r="S283" s="1" t="n">
        <v>0.712</v>
      </c>
    </row>
    <row r="287" customFormat="false" ht="12.75" hidden="false" customHeight="false" outlineLevel="0" collapsed="false">
      <c r="S287" s="1" t="s">
        <v>89</v>
      </c>
    </row>
    <row r="289" customFormat="false" ht="12.75" hidden="false" customHeight="false" outlineLevel="0" collapsed="false">
      <c r="S289" s="1" t="s">
        <v>62</v>
      </c>
    </row>
    <row r="291" customFormat="false" ht="12.75" hidden="false" customHeight="false" outlineLevel="0" collapsed="false">
      <c r="S291" s="1" t="n">
        <v>33</v>
      </c>
    </row>
    <row r="293" customFormat="false" ht="12.75" hidden="false" customHeight="false" outlineLevel="0" collapsed="false">
      <c r="S293" s="1" t="n">
        <v>76.3</v>
      </c>
    </row>
    <row r="295" customFormat="false" ht="12.75" hidden="false" customHeight="false" outlineLevel="0" collapsed="false">
      <c r="S295" s="1" t="n">
        <v>13.5</v>
      </c>
    </row>
    <row r="297" customFormat="false" ht="12.75" hidden="false" customHeight="false" outlineLevel="0" collapsed="false">
      <c r="S297" s="1" t="n">
        <v>18.9</v>
      </c>
    </row>
    <row r="299" customFormat="false" ht="12.75" hidden="false" customHeight="false" outlineLevel="0" collapsed="false">
      <c r="S299" s="1" t="n">
        <v>445</v>
      </c>
    </row>
    <row r="301" customFormat="false" ht="12.75" hidden="false" customHeight="false" outlineLevel="0" collapsed="false">
      <c r="S301" s="1" t="n">
        <v>625</v>
      </c>
    </row>
    <row r="303" customFormat="false" ht="12.75" hidden="false" customHeight="false" outlineLevel="0" collapsed="false">
      <c r="S303" s="1" t="n">
        <v>0.712</v>
      </c>
    </row>
    <row r="307" customFormat="false" ht="12.75" hidden="false" customHeight="false" outlineLevel="0" collapsed="false">
      <c r="S307" s="1" t="s">
        <v>89</v>
      </c>
    </row>
    <row r="309" customFormat="false" ht="12.75" hidden="false" customHeight="false" outlineLevel="0" collapsed="false">
      <c r="S309" s="1" t="s">
        <v>410</v>
      </c>
    </row>
    <row r="311" customFormat="false" ht="12.75" hidden="false" customHeight="false" outlineLevel="0" collapsed="false">
      <c r="S311" s="1" t="s">
        <v>411</v>
      </c>
    </row>
    <row r="313" customFormat="false" ht="12.75" hidden="false" customHeight="false" outlineLevel="0" collapsed="false">
      <c r="S313" s="1" t="s">
        <v>89</v>
      </c>
    </row>
    <row r="317" customFormat="false" ht="12.75" hidden="false" customHeight="false" outlineLevel="0" collapsed="false">
      <c r="S317" s="1" t="s">
        <v>412</v>
      </c>
    </row>
    <row r="319" customFormat="false" ht="12.75" hidden="false" customHeight="false" outlineLevel="0" collapsed="false">
      <c r="S319" s="1" t="s">
        <v>413</v>
      </c>
    </row>
    <row r="321" customFormat="false" ht="12.75" hidden="false" customHeight="false" outlineLevel="0" collapsed="false">
      <c r="S321" s="1" t="s">
        <v>414</v>
      </c>
    </row>
    <row r="323" customFormat="false" ht="12.75" hidden="false" customHeight="false" outlineLevel="0" collapsed="false">
      <c r="S323" s="1" t="s">
        <v>415</v>
      </c>
    </row>
    <row r="325" customFormat="false" ht="12.75" hidden="false" customHeight="false" outlineLevel="0" collapsed="false">
      <c r="S325" s="1" t="s">
        <v>416</v>
      </c>
    </row>
    <row r="327" customFormat="false" ht="12.75" hidden="false" customHeight="false" outlineLevel="0" collapsed="false">
      <c r="S327" s="1" t="s">
        <v>417</v>
      </c>
    </row>
    <row r="329" customFormat="false" ht="12.75" hidden="false" customHeight="false" outlineLevel="0" collapsed="false">
      <c r="S329" s="1" t="s">
        <v>416</v>
      </c>
    </row>
    <row r="331" customFormat="false" ht="12.75" hidden="false" customHeight="false" outlineLevel="0" collapsed="false">
      <c r="S331" s="1" t="s">
        <v>417</v>
      </c>
    </row>
    <row r="333" customFormat="false" ht="12.75" hidden="false" customHeight="false" outlineLevel="0" collapsed="false">
      <c r="S333" s="1" t="s">
        <v>418</v>
      </c>
    </row>
    <row r="337" customFormat="false" ht="12.75" hidden="false" customHeight="false" outlineLevel="0" collapsed="false">
      <c r="S337" s="1" t="n">
        <v>101</v>
      </c>
    </row>
    <row r="339" customFormat="false" ht="12.75" hidden="false" customHeight="false" outlineLevel="0" collapsed="false">
      <c r="S339" s="1" t="s">
        <v>423</v>
      </c>
    </row>
    <row r="341" customFormat="false" ht="12.75" hidden="false" customHeight="false" outlineLevel="0" collapsed="false">
      <c r="S341" s="1" t="n">
        <v>32</v>
      </c>
    </row>
    <row r="343" customFormat="false" ht="12.75" hidden="false" customHeight="false" outlineLevel="0" collapsed="false">
      <c r="S343" s="1" t="n">
        <v>60.3</v>
      </c>
    </row>
    <row r="345" customFormat="false" ht="12.75" hidden="false" customHeight="false" outlineLevel="0" collapsed="false">
      <c r="S345" s="1" t="n">
        <v>12.2</v>
      </c>
    </row>
    <row r="347" customFormat="false" ht="12.75" hidden="false" customHeight="false" outlineLevel="0" collapsed="false">
      <c r="S347" s="1" t="n">
        <v>17.1</v>
      </c>
    </row>
    <row r="349" customFormat="false" ht="12.75" hidden="false" customHeight="false" outlineLevel="0" collapsed="false">
      <c r="S349" s="1" t="n">
        <v>389</v>
      </c>
    </row>
    <row r="351" customFormat="false" ht="12.75" hidden="false" customHeight="false" outlineLevel="0" collapsed="false">
      <c r="S351" s="1" t="n">
        <v>547</v>
      </c>
    </row>
    <row r="353" customFormat="false" ht="12.75" hidden="false" customHeight="false" outlineLevel="0" collapsed="false">
      <c r="S353" s="1" t="n">
        <v>0.711</v>
      </c>
    </row>
    <row r="357" customFormat="false" ht="12.75" hidden="false" customHeight="false" outlineLevel="0" collapsed="false">
      <c r="S357" s="1" t="n">
        <v>102</v>
      </c>
    </row>
    <row r="359" customFormat="false" ht="12.75" hidden="false" customHeight="false" outlineLevel="0" collapsed="false">
      <c r="S359" s="1" t="s">
        <v>211</v>
      </c>
    </row>
    <row r="361" customFormat="false" ht="12.75" hidden="false" customHeight="false" outlineLevel="0" collapsed="false">
      <c r="S361" s="1" t="n">
        <v>28</v>
      </c>
    </row>
    <row r="363" customFormat="false" ht="12.75" hidden="false" customHeight="false" outlineLevel="0" collapsed="false">
      <c r="S363" s="1" t="n">
        <v>69.1</v>
      </c>
    </row>
    <row r="365" customFormat="false" ht="12.75" hidden="false" customHeight="false" outlineLevel="0" collapsed="false">
      <c r="S365" s="1" t="n">
        <v>15.9</v>
      </c>
    </row>
    <row r="367" customFormat="false" ht="12.75" hidden="false" customHeight="false" outlineLevel="0" collapsed="false">
      <c r="S367" s="1" t="n">
        <v>22.4</v>
      </c>
    </row>
    <row r="369" customFormat="false" ht="12.75" hidden="false" customHeight="false" outlineLevel="0" collapsed="false">
      <c r="S369" s="1" t="n">
        <v>446</v>
      </c>
    </row>
    <row r="371" customFormat="false" ht="12.75" hidden="false" customHeight="false" outlineLevel="0" collapsed="false">
      <c r="S371" s="1" t="n">
        <v>628</v>
      </c>
    </row>
    <row r="373" customFormat="false" ht="12.75" hidden="false" customHeight="false" outlineLevel="0" collapsed="false">
      <c r="S373" s="1" t="n">
        <v>0.71</v>
      </c>
    </row>
    <row r="377" customFormat="false" ht="12.75" hidden="false" customHeight="false" outlineLevel="0" collapsed="false">
      <c r="S377" s="1" t="n">
        <v>103</v>
      </c>
    </row>
    <row r="379" customFormat="false" ht="12.75" hidden="false" customHeight="false" outlineLevel="0" collapsed="false">
      <c r="S379" s="1" t="s">
        <v>245</v>
      </c>
    </row>
    <row r="381" customFormat="false" ht="12.75" hidden="false" customHeight="false" outlineLevel="0" collapsed="false">
      <c r="S381" s="1" t="n">
        <v>32</v>
      </c>
    </row>
    <row r="383" customFormat="false" ht="12.75" hidden="false" customHeight="false" outlineLevel="0" collapsed="false">
      <c r="S383" s="1" t="n">
        <v>72.7</v>
      </c>
    </row>
    <row r="385" customFormat="false" ht="12.75" hidden="false" customHeight="false" outlineLevel="0" collapsed="false">
      <c r="S385" s="1" t="n">
        <v>14.6</v>
      </c>
    </row>
    <row r="387" customFormat="false" ht="12.75" hidden="false" customHeight="false" outlineLevel="0" collapsed="false">
      <c r="S387" s="1" t="n">
        <v>20.6</v>
      </c>
    </row>
    <row r="389" customFormat="false" ht="12.75" hidden="false" customHeight="false" outlineLevel="0" collapsed="false">
      <c r="S389" s="1" t="n">
        <v>467</v>
      </c>
    </row>
    <row r="391" customFormat="false" ht="12.75" hidden="false" customHeight="false" outlineLevel="0" collapsed="false">
      <c r="S391" s="1" t="n">
        <v>659</v>
      </c>
    </row>
    <row r="393" customFormat="false" ht="12.75" hidden="false" customHeight="false" outlineLevel="0" collapsed="false">
      <c r="S393" s="1" t="n">
        <v>0.709</v>
      </c>
    </row>
    <row r="397" customFormat="false" ht="12.75" hidden="false" customHeight="false" outlineLevel="0" collapsed="false">
      <c r="S397" s="1" t="s">
        <v>89</v>
      </c>
    </row>
    <row r="399" customFormat="false" ht="12.75" hidden="false" customHeight="false" outlineLevel="0" collapsed="false">
      <c r="S399" s="1" t="s">
        <v>338</v>
      </c>
    </row>
    <row r="401" customFormat="false" ht="12.75" hidden="false" customHeight="false" outlineLevel="0" collapsed="false">
      <c r="S401" s="1" t="n">
        <v>34</v>
      </c>
    </row>
    <row r="403" customFormat="false" ht="12.75" hidden="false" customHeight="false" outlineLevel="0" collapsed="false">
      <c r="S403" s="1" t="n">
        <v>68.6</v>
      </c>
    </row>
    <row r="405" customFormat="false" ht="12.75" hidden="false" customHeight="false" outlineLevel="0" collapsed="false">
      <c r="S405" s="1" t="n">
        <v>15.4</v>
      </c>
    </row>
    <row r="407" customFormat="false" ht="12.75" hidden="false" customHeight="false" outlineLevel="0" collapsed="false">
      <c r="S407" s="1" t="n">
        <v>21.8</v>
      </c>
    </row>
    <row r="409" customFormat="false" ht="12.75" hidden="false" customHeight="false" outlineLevel="0" collapsed="false">
      <c r="S409" s="1" t="n">
        <v>525</v>
      </c>
    </row>
    <row r="411" customFormat="false" ht="12.75" hidden="false" customHeight="false" outlineLevel="0" collapsed="false">
      <c r="S411" s="1" t="n">
        <v>741</v>
      </c>
    </row>
    <row r="413" customFormat="false" ht="12.75" hidden="false" customHeight="false" outlineLevel="0" collapsed="false">
      <c r="S413" s="1" t="n">
        <v>0.709</v>
      </c>
    </row>
    <row r="417" customFormat="false" ht="12.75" hidden="false" customHeight="false" outlineLevel="0" collapsed="false">
      <c r="S417" s="1" t="n">
        <v>105</v>
      </c>
    </row>
    <row r="419" customFormat="false" ht="12.75" hidden="false" customHeight="false" outlineLevel="0" collapsed="false">
      <c r="S419" s="1" t="s">
        <v>259</v>
      </c>
    </row>
    <row r="421" customFormat="false" ht="12.75" hidden="false" customHeight="false" outlineLevel="0" collapsed="false">
      <c r="S421" s="1" t="n">
        <v>34</v>
      </c>
    </row>
    <row r="423" customFormat="false" ht="12.75" hidden="false" customHeight="false" outlineLevel="0" collapsed="false">
      <c r="S423" s="1" t="n">
        <v>68.7</v>
      </c>
    </row>
    <row r="425" customFormat="false" ht="12.75" hidden="false" customHeight="false" outlineLevel="0" collapsed="false">
      <c r="S425" s="1" t="n">
        <v>16.8</v>
      </c>
    </row>
    <row r="427" customFormat="false" ht="12.75" hidden="false" customHeight="false" outlineLevel="0" collapsed="false">
      <c r="S427" s="1" t="n">
        <v>23.7</v>
      </c>
    </row>
    <row r="429" customFormat="false" ht="12.75" hidden="false" customHeight="false" outlineLevel="0" collapsed="false">
      <c r="S429" s="1" t="n">
        <v>570</v>
      </c>
    </row>
    <row r="431" customFormat="false" ht="12.75" hidden="false" customHeight="false" outlineLevel="0" collapsed="false">
      <c r="S431" s="1" t="n">
        <v>805</v>
      </c>
    </row>
    <row r="433" customFormat="false" ht="12.75" hidden="false" customHeight="false" outlineLevel="0" collapsed="false">
      <c r="S433" s="1" t="n">
        <v>0.708</v>
      </c>
    </row>
    <row r="437" customFormat="false" ht="12.75" hidden="false" customHeight="false" outlineLevel="0" collapsed="false">
      <c r="S437" s="1" t="s">
        <v>89</v>
      </c>
    </row>
    <row r="439" customFormat="false" ht="12.75" hidden="false" customHeight="false" outlineLevel="0" collapsed="false">
      <c r="S439" s="1" t="s">
        <v>424</v>
      </c>
    </row>
    <row r="441" customFormat="false" ht="12.75" hidden="false" customHeight="false" outlineLevel="0" collapsed="false">
      <c r="S441" s="1" t="n">
        <v>30</v>
      </c>
    </row>
    <row r="443" customFormat="false" ht="12.75" hidden="false" customHeight="false" outlineLevel="0" collapsed="false">
      <c r="S443" s="1" t="n">
        <v>69.5</v>
      </c>
    </row>
    <row r="445" customFormat="false" ht="12.75" hidden="false" customHeight="false" outlineLevel="0" collapsed="false">
      <c r="S445" s="1" t="n">
        <v>13.7</v>
      </c>
    </row>
    <row r="447" customFormat="false" ht="12.75" hidden="false" customHeight="false" outlineLevel="0" collapsed="false">
      <c r="S447" s="1" t="n">
        <v>19.4</v>
      </c>
    </row>
    <row r="449" customFormat="false" ht="12.75" hidden="false" customHeight="false" outlineLevel="0" collapsed="false">
      <c r="S449" s="1" t="n">
        <v>412</v>
      </c>
    </row>
    <row r="451" customFormat="false" ht="12.75" hidden="false" customHeight="false" outlineLevel="0" collapsed="false">
      <c r="S451" s="1" t="n">
        <v>582</v>
      </c>
    </row>
    <row r="453" customFormat="false" ht="12.75" hidden="false" customHeight="false" outlineLevel="0" collapsed="false">
      <c r="S453" s="1" t="n">
        <v>0.708</v>
      </c>
    </row>
    <row r="457" customFormat="false" ht="12.75" hidden="false" customHeight="false" outlineLevel="0" collapsed="false">
      <c r="S457" s="1" t="s">
        <v>89</v>
      </c>
    </row>
    <row r="459" customFormat="false" ht="12.75" hidden="false" customHeight="false" outlineLevel="0" collapsed="false">
      <c r="S459" s="1" t="s">
        <v>121</v>
      </c>
    </row>
    <row r="461" customFormat="false" ht="12.75" hidden="false" customHeight="false" outlineLevel="0" collapsed="false">
      <c r="S461" s="1" t="n">
        <v>33</v>
      </c>
    </row>
    <row r="463" customFormat="false" ht="12.75" hidden="false" customHeight="false" outlineLevel="0" collapsed="false">
      <c r="S463" s="1" t="n">
        <v>66.5</v>
      </c>
    </row>
    <row r="465" customFormat="false" ht="12.75" hidden="false" customHeight="false" outlineLevel="0" collapsed="false">
      <c r="S465" s="1" t="n">
        <v>14.2</v>
      </c>
    </row>
    <row r="467" customFormat="false" ht="12.75" hidden="false" customHeight="false" outlineLevel="0" collapsed="false">
      <c r="S467" s="1" t="n">
        <v>20.1</v>
      </c>
    </row>
    <row r="469" customFormat="false" ht="12.75" hidden="false" customHeight="false" outlineLevel="0" collapsed="false">
      <c r="S469" s="1" t="n">
        <v>470</v>
      </c>
    </row>
    <row r="471" customFormat="false" ht="12.75" hidden="false" customHeight="false" outlineLevel="0" collapsed="false">
      <c r="S471" s="1" t="n">
        <v>664</v>
      </c>
    </row>
    <row r="473" customFormat="false" ht="12.75" hidden="false" customHeight="false" outlineLevel="0" collapsed="false">
      <c r="S473" s="1" t="n">
        <v>0.708</v>
      </c>
    </row>
    <row r="477" customFormat="false" ht="12.75" hidden="false" customHeight="false" outlineLevel="0" collapsed="false">
      <c r="S477" s="1" t="s">
        <v>89</v>
      </c>
    </row>
    <row r="479" customFormat="false" ht="12.75" hidden="false" customHeight="false" outlineLevel="0" collapsed="false">
      <c r="S479" s="1" t="s">
        <v>332</v>
      </c>
    </row>
    <row r="481" customFormat="false" ht="12.75" hidden="false" customHeight="false" outlineLevel="0" collapsed="false">
      <c r="S481" s="1" t="n">
        <v>34</v>
      </c>
    </row>
    <row r="483" customFormat="false" ht="12.75" hidden="false" customHeight="false" outlineLevel="0" collapsed="false">
      <c r="S483" s="1" t="n">
        <v>73.4</v>
      </c>
    </row>
    <row r="485" customFormat="false" ht="12.75" hidden="false" customHeight="false" outlineLevel="0" collapsed="false">
      <c r="S485" s="1" t="n">
        <v>14.7</v>
      </c>
    </row>
    <row r="487" customFormat="false" ht="12.75" hidden="false" customHeight="false" outlineLevel="0" collapsed="false">
      <c r="S487" s="1" t="n">
        <v>20.7</v>
      </c>
    </row>
    <row r="489" customFormat="false" ht="12.75" hidden="false" customHeight="false" outlineLevel="0" collapsed="false">
      <c r="S489" s="1" t="n">
        <v>499</v>
      </c>
    </row>
    <row r="491" customFormat="false" ht="12.75" hidden="false" customHeight="false" outlineLevel="0" collapsed="false">
      <c r="S491" s="1" t="n">
        <v>705</v>
      </c>
    </row>
    <row r="493" customFormat="false" ht="12.75" hidden="false" customHeight="false" outlineLevel="0" collapsed="false">
      <c r="S493" s="1" t="n">
        <v>0.708</v>
      </c>
    </row>
    <row r="497" customFormat="false" ht="12.75" hidden="false" customHeight="false" outlineLevel="0" collapsed="false">
      <c r="S497" s="1" t="n">
        <v>109</v>
      </c>
    </row>
    <row r="499" customFormat="false" ht="12.75" hidden="false" customHeight="false" outlineLevel="0" collapsed="false">
      <c r="S499" s="1" t="s">
        <v>330</v>
      </c>
    </row>
    <row r="501" customFormat="false" ht="12.75" hidden="false" customHeight="false" outlineLevel="0" collapsed="false">
      <c r="S501" s="1" t="n">
        <v>33</v>
      </c>
    </row>
    <row r="503" customFormat="false" ht="12.75" hidden="false" customHeight="false" outlineLevel="0" collapsed="false">
      <c r="S503" s="1" t="n">
        <v>73.2</v>
      </c>
    </row>
    <row r="505" customFormat="false" ht="12.75" hidden="false" customHeight="false" outlineLevel="0" collapsed="false">
      <c r="S505" s="1" t="n">
        <v>15.3</v>
      </c>
    </row>
    <row r="507" customFormat="false" ht="12.75" hidden="false" customHeight="false" outlineLevel="0" collapsed="false">
      <c r="S507" s="1" t="n">
        <v>21.7</v>
      </c>
    </row>
    <row r="509" customFormat="false" ht="12.75" hidden="false" customHeight="false" outlineLevel="0" collapsed="false">
      <c r="S509" s="1" t="n">
        <v>506</v>
      </c>
    </row>
    <row r="511" customFormat="false" ht="12.75" hidden="false" customHeight="false" outlineLevel="0" collapsed="false">
      <c r="S511" s="1" t="n">
        <v>716</v>
      </c>
    </row>
    <row r="513" customFormat="false" ht="12.75" hidden="false" customHeight="false" outlineLevel="0" collapsed="false">
      <c r="S513" s="1" t="n">
        <v>0.707</v>
      </c>
    </row>
    <row r="517" customFormat="false" ht="12.75" hidden="false" customHeight="false" outlineLevel="0" collapsed="false">
      <c r="S517" s="1" t="n">
        <v>110</v>
      </c>
    </row>
    <row r="519" customFormat="false" ht="12.75" hidden="false" customHeight="false" outlineLevel="0" collapsed="false">
      <c r="S519" s="1" t="s">
        <v>331</v>
      </c>
    </row>
    <row r="521" customFormat="false" ht="12.75" hidden="false" customHeight="false" outlineLevel="0" collapsed="false">
      <c r="S521" s="1" t="n">
        <v>32</v>
      </c>
    </row>
    <row r="523" customFormat="false" ht="12.75" hidden="false" customHeight="false" outlineLevel="0" collapsed="false">
      <c r="S523" s="1" t="n">
        <v>70.7</v>
      </c>
    </row>
    <row r="525" customFormat="false" ht="12.75" hidden="false" customHeight="false" outlineLevel="0" collapsed="false">
      <c r="S525" s="1" t="n">
        <v>16.5</v>
      </c>
    </row>
    <row r="527" customFormat="false" ht="12.75" hidden="false" customHeight="false" outlineLevel="0" collapsed="false">
      <c r="S527" s="1" t="n">
        <v>23.3</v>
      </c>
    </row>
    <row r="529" customFormat="false" ht="12.75" hidden="false" customHeight="false" outlineLevel="0" collapsed="false">
      <c r="S529" s="1" t="n">
        <v>527</v>
      </c>
    </row>
    <row r="531" customFormat="false" ht="12.75" hidden="false" customHeight="false" outlineLevel="0" collapsed="false">
      <c r="S531" s="1" t="n">
        <v>746</v>
      </c>
    </row>
    <row r="533" customFormat="false" ht="12.75" hidden="false" customHeight="false" outlineLevel="0" collapsed="false">
      <c r="S533" s="1" t="n">
        <v>0.706</v>
      </c>
    </row>
    <row r="537" customFormat="false" ht="12.75" hidden="false" customHeight="false" outlineLevel="0" collapsed="false">
      <c r="S537" s="1" t="s">
        <v>89</v>
      </c>
    </row>
    <row r="539" customFormat="false" ht="12.75" hidden="false" customHeight="false" outlineLevel="0" collapsed="false">
      <c r="S539" s="1" t="s">
        <v>410</v>
      </c>
    </row>
    <row r="541" customFormat="false" ht="12.75" hidden="false" customHeight="false" outlineLevel="0" collapsed="false">
      <c r="S541" s="1" t="s">
        <v>411</v>
      </c>
    </row>
    <row r="543" customFormat="false" ht="12.75" hidden="false" customHeight="false" outlineLevel="0" collapsed="false">
      <c r="S543" s="1" t="s">
        <v>89</v>
      </c>
    </row>
    <row r="547" customFormat="false" ht="12.75" hidden="false" customHeight="false" outlineLevel="0" collapsed="false">
      <c r="S547" s="1" t="s">
        <v>412</v>
      </c>
    </row>
    <row r="549" customFormat="false" ht="12.75" hidden="false" customHeight="false" outlineLevel="0" collapsed="false">
      <c r="S549" s="1" t="s">
        <v>413</v>
      </c>
    </row>
    <row r="551" customFormat="false" ht="12.75" hidden="false" customHeight="false" outlineLevel="0" collapsed="false">
      <c r="S551" s="1" t="s">
        <v>414</v>
      </c>
    </row>
    <row r="553" customFormat="false" ht="12.75" hidden="false" customHeight="false" outlineLevel="0" collapsed="false">
      <c r="S553" s="1" t="s">
        <v>415</v>
      </c>
    </row>
    <row r="555" customFormat="false" ht="12.75" hidden="false" customHeight="false" outlineLevel="0" collapsed="false">
      <c r="S555" s="1" t="s">
        <v>416</v>
      </c>
    </row>
    <row r="557" customFormat="false" ht="12.75" hidden="false" customHeight="false" outlineLevel="0" collapsed="false">
      <c r="S557" s="1" t="s">
        <v>417</v>
      </c>
    </row>
    <row r="559" customFormat="false" ht="12.75" hidden="false" customHeight="false" outlineLevel="0" collapsed="false">
      <c r="S559" s="1" t="s">
        <v>416</v>
      </c>
    </row>
    <row r="561" customFormat="false" ht="12.75" hidden="false" customHeight="false" outlineLevel="0" collapsed="false">
      <c r="S561" s="1" t="s">
        <v>417</v>
      </c>
    </row>
    <row r="563" customFormat="false" ht="12.75" hidden="false" customHeight="false" outlineLevel="0" collapsed="false">
      <c r="S563" s="1" t="s">
        <v>418</v>
      </c>
    </row>
    <row r="567" customFormat="false" ht="12.75" hidden="false" customHeight="false" outlineLevel="0" collapsed="false">
      <c r="S567" s="1" t="s">
        <v>89</v>
      </c>
    </row>
    <row r="569" customFormat="false" ht="12.75" hidden="false" customHeight="false" outlineLevel="0" collapsed="false">
      <c r="S569" s="1" t="s">
        <v>425</v>
      </c>
    </row>
    <row r="571" customFormat="false" ht="12.75" hidden="false" customHeight="false" outlineLevel="0" collapsed="false">
      <c r="S571" s="1" t="n">
        <v>32</v>
      </c>
    </row>
    <row r="573" customFormat="false" ht="12.75" hidden="false" customHeight="false" outlineLevel="0" collapsed="false">
      <c r="S573" s="1" t="n">
        <v>71.3</v>
      </c>
    </row>
    <row r="575" customFormat="false" ht="12.75" hidden="false" customHeight="false" outlineLevel="0" collapsed="false">
      <c r="S575" s="1" t="n">
        <v>13</v>
      </c>
    </row>
    <row r="577" customFormat="false" ht="12.75" hidden="false" customHeight="false" outlineLevel="0" collapsed="false">
      <c r="S577" s="1" t="n">
        <v>18.4</v>
      </c>
    </row>
    <row r="579" customFormat="false" ht="12.75" hidden="false" customHeight="false" outlineLevel="0" collapsed="false">
      <c r="S579" s="1" t="n">
        <v>416</v>
      </c>
    </row>
    <row r="581" customFormat="false" ht="12.75" hidden="false" customHeight="false" outlineLevel="0" collapsed="false">
      <c r="S581" s="1" t="n">
        <v>589</v>
      </c>
    </row>
    <row r="583" customFormat="false" ht="12.75" hidden="false" customHeight="false" outlineLevel="0" collapsed="false">
      <c r="S583" s="1" t="n">
        <v>0.706</v>
      </c>
    </row>
    <row r="587" customFormat="false" ht="12.75" hidden="false" customHeight="false" outlineLevel="0" collapsed="false">
      <c r="S587" s="1" t="s">
        <v>89</v>
      </c>
    </row>
    <row r="589" customFormat="false" ht="12.75" hidden="false" customHeight="false" outlineLevel="0" collapsed="false">
      <c r="S589" s="1" t="s">
        <v>426</v>
      </c>
    </row>
    <row r="591" customFormat="false" ht="12.75" hidden="false" customHeight="false" outlineLevel="0" collapsed="false">
      <c r="S591" s="1" t="n">
        <v>30</v>
      </c>
    </row>
    <row r="593" customFormat="false" ht="12.75" hidden="false" customHeight="false" outlineLevel="0" collapsed="false">
      <c r="S593" s="1" t="n">
        <v>64.5</v>
      </c>
    </row>
    <row r="595" customFormat="false" ht="12.75" hidden="false" customHeight="false" outlineLevel="0" collapsed="false">
      <c r="S595" s="1" t="n">
        <v>12.8</v>
      </c>
    </row>
    <row r="597" customFormat="false" ht="12.75" hidden="false" customHeight="false" outlineLevel="0" collapsed="false">
      <c r="S597" s="1" t="n">
        <v>18.1</v>
      </c>
    </row>
    <row r="599" customFormat="false" ht="12.75" hidden="false" customHeight="false" outlineLevel="0" collapsed="false">
      <c r="S599" s="1" t="n">
        <v>384</v>
      </c>
    </row>
    <row r="601" customFormat="false" ht="12.75" hidden="false" customHeight="false" outlineLevel="0" collapsed="false">
      <c r="S601" s="1" t="n">
        <v>544</v>
      </c>
    </row>
    <row r="603" customFormat="false" ht="12.75" hidden="false" customHeight="false" outlineLevel="0" collapsed="false">
      <c r="S603" s="1" t="n">
        <v>0.706</v>
      </c>
    </row>
    <row r="607" customFormat="false" ht="12.75" hidden="false" customHeight="false" outlineLevel="0" collapsed="false">
      <c r="S607" s="1" t="s">
        <v>89</v>
      </c>
    </row>
    <row r="609" customFormat="false" ht="12.75" hidden="false" customHeight="false" outlineLevel="0" collapsed="false">
      <c r="S609" s="1" t="s">
        <v>26</v>
      </c>
    </row>
    <row r="611" customFormat="false" ht="12.75" hidden="false" customHeight="false" outlineLevel="0" collapsed="false">
      <c r="S611" s="1" t="n">
        <v>35</v>
      </c>
    </row>
    <row r="613" customFormat="false" ht="12.75" hidden="false" customHeight="false" outlineLevel="0" collapsed="false">
      <c r="S613" s="1" t="n">
        <v>69.8</v>
      </c>
    </row>
    <row r="615" customFormat="false" ht="12.75" hidden="false" customHeight="false" outlineLevel="0" collapsed="false">
      <c r="S615" s="1" t="n">
        <v>16.3</v>
      </c>
    </row>
    <row r="617" customFormat="false" ht="12.75" hidden="false" customHeight="false" outlineLevel="0" collapsed="false">
      <c r="S617" s="1" t="n">
        <v>23.1</v>
      </c>
    </row>
    <row r="619" customFormat="false" ht="12.75" hidden="false" customHeight="false" outlineLevel="0" collapsed="false">
      <c r="S619" s="1" t="n">
        <v>571</v>
      </c>
    </row>
    <row r="621" customFormat="false" ht="12.75" hidden="false" customHeight="false" outlineLevel="0" collapsed="false">
      <c r="S621" s="1" t="n">
        <v>809</v>
      </c>
    </row>
    <row r="623" customFormat="false" ht="12.75" hidden="false" customHeight="false" outlineLevel="0" collapsed="false">
      <c r="S623" s="1" t="n">
        <v>0.706</v>
      </c>
    </row>
    <row r="627" customFormat="false" ht="12.75" hidden="false" customHeight="false" outlineLevel="0" collapsed="false">
      <c r="S627" s="1" t="s">
        <v>89</v>
      </c>
    </row>
    <row r="629" customFormat="false" ht="12.75" hidden="false" customHeight="false" outlineLevel="0" collapsed="false">
      <c r="S629" s="1" t="s">
        <v>336</v>
      </c>
    </row>
    <row r="631" customFormat="false" ht="12.75" hidden="false" customHeight="false" outlineLevel="0" collapsed="false">
      <c r="S631" s="1" t="n">
        <v>32</v>
      </c>
    </row>
    <row r="633" customFormat="false" ht="12.75" hidden="false" customHeight="false" outlineLevel="0" collapsed="false">
      <c r="S633" s="1" t="n">
        <v>69</v>
      </c>
    </row>
    <row r="635" customFormat="false" ht="12.75" hidden="false" customHeight="false" outlineLevel="0" collapsed="false">
      <c r="S635" s="1" t="n">
        <v>14.2</v>
      </c>
    </row>
    <row r="637" customFormat="false" ht="12.75" hidden="false" customHeight="false" outlineLevel="0" collapsed="false">
      <c r="S637" s="1" t="n">
        <v>20.1</v>
      </c>
    </row>
    <row r="639" customFormat="false" ht="12.75" hidden="false" customHeight="false" outlineLevel="0" collapsed="false">
      <c r="S639" s="1" t="n">
        <v>453</v>
      </c>
    </row>
    <row r="641" customFormat="false" ht="12.75" hidden="false" customHeight="false" outlineLevel="0" collapsed="false">
      <c r="S641" s="1" t="n">
        <v>642</v>
      </c>
    </row>
    <row r="643" customFormat="false" ht="12.75" hidden="false" customHeight="false" outlineLevel="0" collapsed="false">
      <c r="S643" s="1" t="n">
        <v>0.706</v>
      </c>
    </row>
    <row r="647" customFormat="false" ht="12.75" hidden="false" customHeight="false" outlineLevel="0" collapsed="false">
      <c r="S647" s="1" t="n">
        <v>115</v>
      </c>
    </row>
    <row r="649" customFormat="false" ht="12.75" hidden="false" customHeight="false" outlineLevel="0" collapsed="false">
      <c r="S649" s="1" t="s">
        <v>427</v>
      </c>
    </row>
    <row r="651" customFormat="false" ht="12.75" hidden="false" customHeight="false" outlineLevel="0" collapsed="false">
      <c r="S651" s="1" t="n">
        <v>32</v>
      </c>
    </row>
    <row r="653" customFormat="false" ht="12.75" hidden="false" customHeight="false" outlineLevel="0" collapsed="false">
      <c r="S653" s="1" t="n">
        <v>62.3</v>
      </c>
    </row>
    <row r="655" customFormat="false" ht="12.75" hidden="false" customHeight="false" outlineLevel="0" collapsed="false">
      <c r="S655" s="1" t="n">
        <v>12.8</v>
      </c>
    </row>
    <row r="657" customFormat="false" ht="12.75" hidden="false" customHeight="false" outlineLevel="0" collapsed="false">
      <c r="S657" s="1" t="n">
        <v>18.1</v>
      </c>
    </row>
    <row r="659" customFormat="false" ht="12.75" hidden="false" customHeight="false" outlineLevel="0" collapsed="false">
      <c r="S659" s="1" t="n">
        <v>409</v>
      </c>
    </row>
    <row r="661" customFormat="false" ht="12.75" hidden="false" customHeight="false" outlineLevel="0" collapsed="false">
      <c r="S661" s="1" t="n">
        <v>580</v>
      </c>
    </row>
    <row r="663" customFormat="false" ht="12.75" hidden="false" customHeight="false" outlineLevel="0" collapsed="false">
      <c r="S663" s="1" t="n">
        <v>0.705</v>
      </c>
    </row>
    <row r="667" customFormat="false" ht="12.75" hidden="false" customHeight="false" outlineLevel="0" collapsed="false">
      <c r="S667" s="1" t="s">
        <v>89</v>
      </c>
    </row>
    <row r="669" customFormat="false" ht="12.75" hidden="false" customHeight="false" outlineLevel="0" collapsed="false">
      <c r="S669" s="1" t="s">
        <v>428</v>
      </c>
    </row>
    <row r="671" customFormat="false" ht="12.75" hidden="false" customHeight="false" outlineLevel="0" collapsed="false">
      <c r="S671" s="1" t="n">
        <v>33</v>
      </c>
    </row>
    <row r="673" customFormat="false" ht="12.75" hidden="false" customHeight="false" outlineLevel="0" collapsed="false">
      <c r="S673" s="1" t="n">
        <v>78.2</v>
      </c>
    </row>
    <row r="675" customFormat="false" ht="12.75" hidden="false" customHeight="false" outlineLevel="0" collapsed="false">
      <c r="S675" s="1" t="n">
        <v>15.6</v>
      </c>
    </row>
    <row r="677" customFormat="false" ht="12.75" hidden="false" customHeight="false" outlineLevel="0" collapsed="false">
      <c r="S677" s="1" t="n">
        <v>22.1</v>
      </c>
    </row>
    <row r="679" customFormat="false" ht="12.75" hidden="false" customHeight="false" outlineLevel="0" collapsed="false">
      <c r="S679" s="1" t="n">
        <v>514</v>
      </c>
    </row>
    <row r="681" customFormat="false" ht="12.75" hidden="false" customHeight="false" outlineLevel="0" collapsed="false">
      <c r="S681" s="1" t="n">
        <v>729</v>
      </c>
    </row>
    <row r="683" customFormat="false" ht="12.75" hidden="false" customHeight="false" outlineLevel="0" collapsed="false">
      <c r="S683" s="1" t="n">
        <v>0.705</v>
      </c>
    </row>
    <row r="687" customFormat="false" ht="12.75" hidden="false" customHeight="false" outlineLevel="0" collapsed="false">
      <c r="S687" s="1" t="s">
        <v>89</v>
      </c>
    </row>
    <row r="689" customFormat="false" ht="12.75" hidden="false" customHeight="false" outlineLevel="0" collapsed="false">
      <c r="S689" s="1" t="s">
        <v>429</v>
      </c>
    </row>
    <row r="691" customFormat="false" ht="12.75" hidden="false" customHeight="false" outlineLevel="0" collapsed="false">
      <c r="S691" s="1" t="n">
        <v>33</v>
      </c>
    </row>
    <row r="693" customFormat="false" ht="12.75" hidden="false" customHeight="false" outlineLevel="0" collapsed="false">
      <c r="S693" s="1" t="n">
        <v>59.2</v>
      </c>
    </row>
    <row r="695" customFormat="false" ht="12.75" hidden="false" customHeight="false" outlineLevel="0" collapsed="false">
      <c r="S695" s="1" t="n">
        <v>11.7</v>
      </c>
    </row>
    <row r="697" customFormat="false" ht="12.75" hidden="false" customHeight="false" outlineLevel="0" collapsed="false">
      <c r="S697" s="1" t="n">
        <v>16.6</v>
      </c>
    </row>
    <row r="699" customFormat="false" ht="12.75" hidden="false" customHeight="false" outlineLevel="0" collapsed="false">
      <c r="S699" s="1" t="n">
        <v>387</v>
      </c>
    </row>
    <row r="701" customFormat="false" ht="12.75" hidden="false" customHeight="false" outlineLevel="0" collapsed="false">
      <c r="S701" s="1" t="n">
        <v>549</v>
      </c>
    </row>
    <row r="703" customFormat="false" ht="12.75" hidden="false" customHeight="false" outlineLevel="0" collapsed="false">
      <c r="S703" s="1" t="n">
        <v>0.705</v>
      </c>
    </row>
    <row r="707" customFormat="false" ht="12.75" hidden="false" customHeight="false" outlineLevel="0" collapsed="false">
      <c r="S707" s="1" t="s">
        <v>89</v>
      </c>
    </row>
    <row r="709" customFormat="false" ht="12.75" hidden="false" customHeight="false" outlineLevel="0" collapsed="false">
      <c r="S709" s="1" t="s">
        <v>430</v>
      </c>
    </row>
    <row r="711" customFormat="false" ht="12.75" hidden="false" customHeight="false" outlineLevel="0" collapsed="false">
      <c r="S711" s="1" t="n">
        <v>30</v>
      </c>
    </row>
    <row r="713" customFormat="false" ht="12.75" hidden="false" customHeight="false" outlineLevel="0" collapsed="false">
      <c r="S713" s="1" t="n">
        <v>57.6</v>
      </c>
    </row>
    <row r="715" customFormat="false" ht="12.75" hidden="false" customHeight="false" outlineLevel="0" collapsed="false">
      <c r="S715" s="1" t="n">
        <v>13</v>
      </c>
    </row>
    <row r="717" customFormat="false" ht="12.75" hidden="false" customHeight="false" outlineLevel="0" collapsed="false">
      <c r="S717" s="1" t="n">
        <v>18.4</v>
      </c>
    </row>
    <row r="719" customFormat="false" ht="12.75" hidden="false" customHeight="false" outlineLevel="0" collapsed="false">
      <c r="S719" s="1" t="n">
        <v>389</v>
      </c>
    </row>
    <row r="721" customFormat="false" ht="12.75" hidden="false" customHeight="false" outlineLevel="0" collapsed="false">
      <c r="S721" s="1" t="n">
        <v>552</v>
      </c>
    </row>
    <row r="723" customFormat="false" ht="12.75" hidden="false" customHeight="false" outlineLevel="0" collapsed="false">
      <c r="S723" s="1" t="n">
        <v>0.705</v>
      </c>
    </row>
    <row r="727" customFormat="false" ht="12.75" hidden="false" customHeight="false" outlineLevel="0" collapsed="false">
      <c r="S727" s="1" t="s">
        <v>89</v>
      </c>
    </row>
    <row r="729" customFormat="false" ht="12.75" hidden="false" customHeight="false" outlineLevel="0" collapsed="false">
      <c r="S729" s="1" t="s">
        <v>50</v>
      </c>
    </row>
    <row r="731" customFormat="false" ht="12.75" hidden="false" customHeight="false" outlineLevel="0" collapsed="false">
      <c r="S731" s="1" t="n">
        <v>32</v>
      </c>
    </row>
    <row r="733" customFormat="false" ht="12.75" hidden="false" customHeight="false" outlineLevel="0" collapsed="false">
      <c r="S733" s="1" t="n">
        <v>68.8</v>
      </c>
    </row>
    <row r="735" customFormat="false" ht="12.75" hidden="false" customHeight="false" outlineLevel="0" collapsed="false">
      <c r="S735" s="1" t="n">
        <v>15.7</v>
      </c>
    </row>
    <row r="737" customFormat="false" ht="12.75" hidden="false" customHeight="false" outlineLevel="0" collapsed="false">
      <c r="S737" s="1" t="n">
        <v>22.2</v>
      </c>
    </row>
    <row r="739" customFormat="false" ht="12.75" hidden="false" customHeight="false" outlineLevel="0" collapsed="false">
      <c r="S739" s="1" t="n">
        <v>501</v>
      </c>
    </row>
    <row r="741" customFormat="false" ht="12.75" hidden="false" customHeight="false" outlineLevel="0" collapsed="false">
      <c r="S741" s="1" t="n">
        <v>711</v>
      </c>
    </row>
    <row r="743" customFormat="false" ht="12.75" hidden="false" customHeight="false" outlineLevel="0" collapsed="false">
      <c r="S743" s="1" t="n">
        <v>0.705</v>
      </c>
    </row>
    <row r="747" customFormat="false" ht="12.75" hidden="false" customHeight="false" outlineLevel="0" collapsed="false">
      <c r="S747" s="1" t="n">
        <v>120</v>
      </c>
    </row>
    <row r="749" customFormat="false" ht="12.75" hidden="false" customHeight="false" outlineLevel="0" collapsed="false">
      <c r="S749" s="1" t="s">
        <v>45</v>
      </c>
    </row>
    <row r="751" customFormat="false" ht="12.75" hidden="false" customHeight="false" outlineLevel="0" collapsed="false">
      <c r="S751" s="1" t="n">
        <v>30</v>
      </c>
    </row>
    <row r="753" customFormat="false" ht="12.75" hidden="false" customHeight="false" outlineLevel="0" collapsed="false">
      <c r="S753" s="1" t="n">
        <v>71.7</v>
      </c>
    </row>
    <row r="755" customFormat="false" ht="12.75" hidden="false" customHeight="false" outlineLevel="0" collapsed="false">
      <c r="S755" s="1" t="n">
        <v>13.3</v>
      </c>
    </row>
    <row r="757" customFormat="false" ht="12.75" hidden="false" customHeight="false" outlineLevel="0" collapsed="false">
      <c r="S757" s="1" t="n">
        <v>18.8</v>
      </c>
    </row>
    <row r="759" customFormat="false" ht="12.75" hidden="false" customHeight="false" outlineLevel="0" collapsed="false">
      <c r="S759" s="1" t="n">
        <v>398</v>
      </c>
    </row>
    <row r="761" customFormat="false" ht="12.75" hidden="false" customHeight="false" outlineLevel="0" collapsed="false">
      <c r="S761" s="1" t="n">
        <v>565</v>
      </c>
    </row>
    <row r="763" customFormat="false" ht="12.75" hidden="false" customHeight="false" outlineLevel="0" collapsed="false">
      <c r="S763" s="1" t="n">
        <v>0.704</v>
      </c>
    </row>
    <row r="765" customFormat="false" ht="12.75" hidden="false" customHeight="false" outlineLevel="0" collapsed="false">
      <c r="S765" s="1" t="s">
        <v>89</v>
      </c>
    </row>
    <row r="768" customFormat="false" ht="12.75" hidden="false" customHeight="false" outlineLevel="0" collapsed="false">
      <c r="S768" s="1" t="s">
        <v>431</v>
      </c>
    </row>
    <row r="769" customFormat="false" ht="12.75" hidden="false" customHeight="false" outlineLevel="0" collapsed="false">
      <c r="S769" s="1" t="s">
        <v>89</v>
      </c>
    </row>
    <row r="772" customFormat="false" ht="12.75" hidden="false" customHeight="false" outlineLevel="0" collapsed="false">
      <c r="S772" s="1" t="s">
        <v>432</v>
      </c>
    </row>
    <row r="773" customFormat="false" ht="12.75" hidden="false" customHeight="false" outlineLevel="0" collapsed="false">
      <c r="S773" s="1" t="s">
        <v>89</v>
      </c>
    </row>
    <row r="776" customFormat="false" ht="12.75" hidden="false" customHeight="false" outlineLevel="0" collapsed="false">
      <c r="S776" s="1" t="s">
        <v>433</v>
      </c>
    </row>
    <row r="778" customFormat="false" ht="12.75" hidden="false" customHeight="false" outlineLevel="0" collapsed="false">
      <c r="S778" s="1" t="s">
        <v>434</v>
      </c>
    </row>
    <row r="779" customFormat="false" ht="12.75" hidden="false" customHeight="false" outlineLevel="0" collapsed="false">
      <c r="S779" s="1" t="s">
        <v>435</v>
      </c>
    </row>
    <row r="780" customFormat="false" ht="12.75" hidden="false" customHeight="false" outlineLevel="0" collapsed="false">
      <c r="S780" s="1" t="s">
        <v>436</v>
      </c>
    </row>
    <row r="781" customFormat="false" ht="12.75" hidden="false" customHeight="false" outlineLevel="0" collapsed="false">
      <c r="S781" s="1" t="s">
        <v>437</v>
      </c>
    </row>
    <row r="782" customFormat="false" ht="12.75" hidden="false" customHeight="false" outlineLevel="0" collapsed="false">
      <c r="S782" s="1" t="s">
        <v>438</v>
      </c>
    </row>
    <row r="783" customFormat="false" ht="12.75" hidden="false" customHeight="false" outlineLevel="0" collapsed="false">
      <c r="S783" s="1" t="s">
        <v>439</v>
      </c>
    </row>
    <row r="784" customFormat="false" ht="12.75" hidden="false" customHeight="false" outlineLevel="0" collapsed="false">
      <c r="S784" s="1" t="s">
        <v>440</v>
      </c>
    </row>
    <row r="785" customFormat="false" ht="12.75" hidden="false" customHeight="false" outlineLevel="0" collapsed="false">
      <c r="S785" s="1" t="s">
        <v>89</v>
      </c>
    </row>
  </sheetData>
  <hyperlinks>
    <hyperlink ref="U70" r:id="rId1" display="http://fs.ncaa.org/Docs/stats/m_basketball_RB/Reports/attendanceYBYtop25.pdf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RowHeight="12.75" zeroHeight="false" outlineLevelRow="0" outlineLevelCol="0"/>
  <cols>
    <col collapsed="false" customWidth="true" hidden="false" outlineLevel="0" max="1" min="1" style="0" width="18.71"/>
    <col collapsed="false" customWidth="true" hidden="false" outlineLevel="0" max="2" min="2" style="0" width="21.43"/>
    <col collapsed="false" customWidth="true" hidden="false" outlineLevel="0" max="18" min="3" style="0" width="17.29"/>
    <col collapsed="false" customWidth="true" hidden="false" outlineLevel="0" max="1025" min="19" style="0" width="14.43"/>
  </cols>
  <sheetData>
    <row r="1" customFormat="false" ht="12.75" hidden="false" customHeight="false" outlineLevel="0" collapsed="false">
      <c r="A1" s="1" t="s">
        <v>2</v>
      </c>
      <c r="B1" s="1" t="s">
        <v>213</v>
      </c>
      <c r="C1" s="1" t="s">
        <v>340</v>
      </c>
      <c r="D1" s="1" t="s">
        <v>441</v>
      </c>
      <c r="E1" s="1" t="s">
        <v>442</v>
      </c>
      <c r="F1" s="1" t="s">
        <v>443</v>
      </c>
      <c r="G1" s="1" t="s">
        <v>16</v>
      </c>
      <c r="H1" s="1" t="s">
        <v>444</v>
      </c>
      <c r="I1" s="1" t="s">
        <v>445</v>
      </c>
      <c r="J1" s="1" t="s">
        <v>446</v>
      </c>
      <c r="K1" s="1" t="s">
        <v>447</v>
      </c>
      <c r="L1" s="1" t="s">
        <v>448</v>
      </c>
      <c r="M1" s="1" t="s">
        <v>449</v>
      </c>
      <c r="N1" s="1" t="s">
        <v>450</v>
      </c>
      <c r="O1" s="1" t="s">
        <v>451</v>
      </c>
      <c r="P1" s="1" t="s">
        <v>452</v>
      </c>
      <c r="Q1" s="1" t="s">
        <v>453</v>
      </c>
      <c r="R1" s="1" t="s">
        <v>388</v>
      </c>
    </row>
    <row r="2" customFormat="false" ht="12.75" hidden="false" customHeight="false" outlineLevel="0" collapsed="false">
      <c r="A2" s="1" t="s">
        <v>361</v>
      </c>
      <c r="B2" s="1" t="n">
        <v>0</v>
      </c>
      <c r="C2" s="1" t="n">
        <v>0.639</v>
      </c>
      <c r="D2" s="1" t="n">
        <v>8</v>
      </c>
      <c r="E2" s="1" t="n">
        <v>1</v>
      </c>
      <c r="F2" s="1" t="n">
        <v>0</v>
      </c>
      <c r="G2" s="1" t="n">
        <v>70.4</v>
      </c>
      <c r="H2" s="1" t="n">
        <v>1</v>
      </c>
      <c r="I2" s="1" t="n">
        <v>2</v>
      </c>
      <c r="J2" s="1" t="n">
        <v>1</v>
      </c>
      <c r="K2" s="1" t="n">
        <v>11.8</v>
      </c>
      <c r="L2" s="1" t="n">
        <v>0.294</v>
      </c>
      <c r="M2" s="1" t="n">
        <v>0.339</v>
      </c>
      <c r="N2" s="1" t="n">
        <v>66.4</v>
      </c>
      <c r="O2" s="1" t="n">
        <v>18</v>
      </c>
      <c r="P2" s="1" t="n">
        <v>7.2</v>
      </c>
      <c r="Q2" s="1" t="n">
        <v>0.714</v>
      </c>
    </row>
    <row r="3" customFormat="false" ht="12.75" hidden="false" customHeight="false" outlineLevel="0" collapsed="false">
      <c r="A3" s="1" t="s">
        <v>454</v>
      </c>
      <c r="B3" s="1" t="n">
        <v>-1</v>
      </c>
      <c r="C3" s="1" t="n">
        <v>0.486</v>
      </c>
      <c r="D3" s="1" t="n">
        <v>9</v>
      </c>
      <c r="E3" s="1" t="n">
        <v>1</v>
      </c>
      <c r="F3" s="1" t="n">
        <v>0</v>
      </c>
      <c r="G3" s="1" t="n">
        <v>60.3</v>
      </c>
      <c r="H3" s="1" t="n">
        <v>0</v>
      </c>
      <c r="I3" s="1" t="n">
        <v>2</v>
      </c>
      <c r="J3" s="1" t="n">
        <v>1</v>
      </c>
      <c r="K3" s="1" t="n">
        <v>15.4</v>
      </c>
      <c r="L3" s="1" t="n">
        <v>0.365</v>
      </c>
      <c r="M3" s="1" t="n">
        <v>0.238</v>
      </c>
      <c r="N3" s="1" t="n">
        <v>59.4</v>
      </c>
      <c r="O3" s="1" t="n">
        <v>20</v>
      </c>
      <c r="P3" s="1" t="n">
        <v>-3.5</v>
      </c>
      <c r="Q3" s="1" t="n">
        <v>0.333</v>
      </c>
    </row>
    <row r="4" customFormat="false" ht="12.75" hidden="false" customHeight="false" outlineLevel="0" collapsed="false">
      <c r="A4" s="1" t="s">
        <v>26</v>
      </c>
      <c r="B4" s="1" t="n">
        <v>3</v>
      </c>
      <c r="C4" s="1" t="n">
        <v>0.789</v>
      </c>
      <c r="D4" s="1" t="n">
        <v>7</v>
      </c>
      <c r="E4" s="1" t="n">
        <v>0</v>
      </c>
      <c r="F4" s="1" t="n">
        <v>1</v>
      </c>
      <c r="G4" s="1" t="n">
        <v>74.6</v>
      </c>
      <c r="H4" s="1" t="n">
        <v>5</v>
      </c>
      <c r="I4" s="1" t="n">
        <v>7</v>
      </c>
      <c r="J4" s="1" t="n">
        <v>2</v>
      </c>
      <c r="K4" s="1" t="n">
        <v>12.1</v>
      </c>
      <c r="L4" s="1" t="n">
        <v>0.301</v>
      </c>
      <c r="M4" s="1" t="n">
        <v>0.306</v>
      </c>
      <c r="N4" s="1" t="n">
        <v>67.9</v>
      </c>
      <c r="O4" s="1" t="n">
        <v>17</v>
      </c>
      <c r="P4" s="1" t="n">
        <v>13.3</v>
      </c>
      <c r="Q4" s="1" t="n">
        <v>0.727</v>
      </c>
      <c r="R4" s="1" t="n">
        <v>13815</v>
      </c>
    </row>
    <row r="5" customFormat="false" ht="12.75" hidden="false" customHeight="false" outlineLevel="0" collapsed="false">
      <c r="A5" s="1" t="s">
        <v>455</v>
      </c>
      <c r="B5" s="1" t="n">
        <v>-1</v>
      </c>
      <c r="C5" s="1" t="n">
        <v>0.528</v>
      </c>
      <c r="D5" s="1" t="n">
        <v>6</v>
      </c>
      <c r="E5" s="1" t="n">
        <v>1</v>
      </c>
      <c r="F5" s="1" t="n">
        <v>0</v>
      </c>
      <c r="G5" s="1" t="n">
        <v>69</v>
      </c>
      <c r="H5" s="1" t="n">
        <v>0</v>
      </c>
      <c r="I5" s="1" t="n">
        <v>2</v>
      </c>
      <c r="J5" s="1" t="n">
        <v>0</v>
      </c>
      <c r="K5" s="1" t="n">
        <v>11.6</v>
      </c>
      <c r="L5" s="1" t="n">
        <f aca="false">370/1171</f>
        <v>0.315969257</v>
      </c>
      <c r="M5" s="1" t="n">
        <v>0.305</v>
      </c>
      <c r="N5" s="1" t="n">
        <v>66.7</v>
      </c>
      <c r="O5" s="1" t="n">
        <v>16</v>
      </c>
      <c r="P5" s="1" t="n">
        <v>1.5</v>
      </c>
      <c r="Q5" s="1" t="n">
        <v>0.5</v>
      </c>
    </row>
    <row r="6" customFormat="false" ht="12.75" hidden="false" customHeight="false" outlineLevel="0" collapsed="false">
      <c r="A6" s="1" t="s">
        <v>240</v>
      </c>
      <c r="B6" s="1" t="n">
        <v>0</v>
      </c>
      <c r="C6" s="1" t="n">
        <v>0.857</v>
      </c>
      <c r="D6" s="1" t="n">
        <v>10</v>
      </c>
      <c r="E6" s="1" t="n">
        <v>1</v>
      </c>
      <c r="F6" s="1" t="n">
        <v>0</v>
      </c>
      <c r="G6" s="1" t="n">
        <v>73.6</v>
      </c>
      <c r="H6" s="1" t="n">
        <v>1</v>
      </c>
      <c r="I6" s="1" t="n">
        <v>4</v>
      </c>
      <c r="J6" s="1" t="n">
        <v>1</v>
      </c>
      <c r="K6" s="1" t="n">
        <v>13.5</v>
      </c>
      <c r="L6" s="1" t="n">
        <f aca="false">446/1237</f>
        <v>0.360549717057397</v>
      </c>
      <c r="M6" s="1" t="n">
        <v>0.352</v>
      </c>
      <c r="N6" s="1" t="n">
        <v>62.2</v>
      </c>
      <c r="O6" s="1" t="n">
        <v>20</v>
      </c>
      <c r="P6" s="1" t="n">
        <v>26.3</v>
      </c>
      <c r="Q6" s="1" t="n">
        <v>0.75</v>
      </c>
    </row>
    <row r="7" customFormat="false" ht="12.75" hidden="false" customHeight="false" outlineLevel="0" collapsed="false">
      <c r="A7" s="1" t="s">
        <v>456</v>
      </c>
      <c r="B7" s="1" t="n">
        <v>0</v>
      </c>
      <c r="C7" s="1" t="n">
        <v>0.6</v>
      </c>
      <c r="D7" s="1" t="n">
        <v>10</v>
      </c>
      <c r="E7" s="1" t="n">
        <v>1</v>
      </c>
      <c r="F7" s="1" t="n">
        <v>0</v>
      </c>
      <c r="G7" s="1" t="n">
        <v>72.9</v>
      </c>
      <c r="H7" s="1" t="n">
        <v>0</v>
      </c>
      <c r="I7" s="1" t="n">
        <v>4</v>
      </c>
      <c r="J7" s="1" t="n">
        <v>0</v>
      </c>
      <c r="K7" s="1" t="n">
        <v>11.7</v>
      </c>
      <c r="L7" s="1" t="n">
        <f aca="false">446/1237</f>
        <v>0.360549717057397</v>
      </c>
      <c r="M7" s="1" t="n">
        <v>0.35</v>
      </c>
      <c r="N7" s="1" t="n">
        <v>63.5</v>
      </c>
      <c r="O7" s="1" t="n">
        <v>18</v>
      </c>
      <c r="P7" s="1" t="n">
        <v>3.1</v>
      </c>
      <c r="Q7" s="1" t="n">
        <v>0.5</v>
      </c>
    </row>
    <row r="8" customFormat="false" ht="12.75" hidden="false" customHeight="false" outlineLevel="0" collapsed="false">
      <c r="A8" s="1" t="s">
        <v>83</v>
      </c>
      <c r="B8" s="1" t="n">
        <v>0</v>
      </c>
      <c r="C8" s="1" t="n">
        <v>0.735</v>
      </c>
      <c r="D8" s="1" t="n">
        <v>10</v>
      </c>
      <c r="E8" s="1" t="n">
        <v>1</v>
      </c>
      <c r="F8" s="1" t="n">
        <v>0</v>
      </c>
      <c r="G8" s="1" t="n">
        <v>78.8</v>
      </c>
      <c r="H8" s="1" t="n">
        <v>2</v>
      </c>
      <c r="I8" s="1" t="n">
        <v>4</v>
      </c>
      <c r="J8" s="1" t="n">
        <v>0</v>
      </c>
      <c r="K8" s="1" t="n">
        <v>11.1</v>
      </c>
      <c r="L8" s="1" t="n">
        <f aca="false">269/1126</f>
        <v>0.2388987567</v>
      </c>
      <c r="M8" s="1" t="n">
        <v>0.294</v>
      </c>
      <c r="N8" s="1" t="n">
        <v>63.9</v>
      </c>
      <c r="O8" s="1" t="n">
        <v>16</v>
      </c>
      <c r="P8" s="1" t="n">
        <v>11.1</v>
      </c>
      <c r="Q8" s="1" t="n">
        <v>0.7</v>
      </c>
    </row>
    <row r="9" customFormat="false" ht="12.75" hidden="false" customHeight="false" outlineLevel="0" collapsed="false">
      <c r="A9" s="1" t="s">
        <v>68</v>
      </c>
      <c r="B9" s="1" t="n">
        <v>5</v>
      </c>
      <c r="C9" s="1" t="n">
        <v>0.737</v>
      </c>
      <c r="D9" s="1" t="n">
        <v>9</v>
      </c>
      <c r="E9" s="1" t="n">
        <v>1</v>
      </c>
      <c r="F9" s="1" t="n">
        <v>0</v>
      </c>
      <c r="G9" s="1" t="n">
        <v>72.6</v>
      </c>
      <c r="H9" s="1" t="n">
        <v>1</v>
      </c>
      <c r="I9" s="1" t="n">
        <v>4</v>
      </c>
      <c r="J9" s="1" t="n">
        <v>3</v>
      </c>
      <c r="K9" s="1" t="n">
        <v>11</v>
      </c>
      <c r="L9" s="1" t="n">
        <f aca="false">346/1116</f>
        <v>0.3100358423</v>
      </c>
      <c r="M9" s="1" t="n">
        <v>0.316</v>
      </c>
      <c r="N9" s="1" t="n">
        <v>64.7</v>
      </c>
      <c r="O9" s="1" t="n">
        <v>15</v>
      </c>
      <c r="P9" s="1" t="n">
        <v>12.3</v>
      </c>
      <c r="Q9" s="1" t="n">
        <v>0.636</v>
      </c>
    </row>
    <row r="10" customFormat="false" ht="12.75" hidden="false" customHeight="false" outlineLevel="0" collapsed="false">
      <c r="A10" s="1" t="s">
        <v>242</v>
      </c>
      <c r="B10" s="1" t="n">
        <v>2</v>
      </c>
      <c r="C10" s="1" t="n">
        <v>0.865</v>
      </c>
      <c r="D10" s="1" t="n">
        <v>8</v>
      </c>
      <c r="E10" s="1" t="n">
        <v>0</v>
      </c>
      <c r="F10" s="1" t="n">
        <v>0</v>
      </c>
      <c r="G10" s="1" t="n">
        <v>76.5</v>
      </c>
      <c r="H10" s="1" t="n">
        <v>6</v>
      </c>
      <c r="I10" s="1" t="n">
        <v>3</v>
      </c>
      <c r="J10" s="1" t="n">
        <v>3</v>
      </c>
      <c r="K10" s="1" t="n">
        <v>10.9</v>
      </c>
      <c r="L10" s="1" t="n">
        <v>0.299</v>
      </c>
      <c r="M10" s="1" t="n">
        <v>0.308</v>
      </c>
      <c r="N10" s="1" t="n">
        <v>68.2</v>
      </c>
      <c r="O10" s="1" t="n">
        <v>18</v>
      </c>
      <c r="P10" s="1" t="n">
        <v>19.7</v>
      </c>
      <c r="Q10" s="1" t="n">
        <v>1</v>
      </c>
      <c r="R10" s="1" t="n">
        <v>14029</v>
      </c>
    </row>
    <row r="11" customFormat="false" ht="12.75" hidden="false" customHeight="false" outlineLevel="0" collapsed="false">
      <c r="A11" s="1" t="s">
        <v>34</v>
      </c>
      <c r="B11" s="1" t="n">
        <v>1</v>
      </c>
      <c r="C11" s="1" t="n">
        <v>0.743</v>
      </c>
      <c r="D11" s="1" t="n">
        <v>7</v>
      </c>
      <c r="E11" s="1" t="n">
        <v>0</v>
      </c>
      <c r="F11" s="1" t="n">
        <v>0</v>
      </c>
      <c r="G11" s="1" t="n">
        <v>66.8</v>
      </c>
      <c r="H11" s="1" t="n">
        <v>6</v>
      </c>
      <c r="I11" s="1" t="n">
        <v>9</v>
      </c>
      <c r="J11" s="1" t="n">
        <v>0</v>
      </c>
      <c r="K11" s="1" t="n">
        <v>11.3</v>
      </c>
      <c r="L11" s="1" t="n">
        <f aca="false">432/1176</f>
        <v>0.3673469388</v>
      </c>
      <c r="M11" s="1" t="n">
        <v>0.274</v>
      </c>
      <c r="N11" s="1" t="n">
        <v>59.6</v>
      </c>
      <c r="O11" s="1" t="n">
        <v>18</v>
      </c>
      <c r="P11" s="1" t="n">
        <f aca="false">107.8-92.5</f>
        <v>15.3</v>
      </c>
      <c r="Q11" s="1" t="n">
        <v>0.667</v>
      </c>
    </row>
    <row r="12" customFormat="false" ht="12.75" hidden="false" customHeight="false" outlineLevel="0" collapsed="false">
      <c r="A12" s="1" t="s">
        <v>75</v>
      </c>
      <c r="B12" s="1" t="n">
        <v>0</v>
      </c>
      <c r="C12" s="1" t="n">
        <v>0.647</v>
      </c>
      <c r="D12" s="1" t="n">
        <v>6</v>
      </c>
      <c r="E12" s="1" t="n">
        <v>0</v>
      </c>
      <c r="F12" s="1" t="n">
        <v>0</v>
      </c>
      <c r="G12" s="1" t="n">
        <v>70.1</v>
      </c>
      <c r="H12" s="1" t="n">
        <v>2</v>
      </c>
      <c r="I12" s="1" t="n">
        <v>8</v>
      </c>
      <c r="J12" s="1" t="n">
        <v>3</v>
      </c>
      <c r="K12" s="1" t="n">
        <v>12.8</v>
      </c>
      <c r="L12" s="1" t="n">
        <v>0.328558639</v>
      </c>
      <c r="M12" s="1" t="n">
        <v>0.279</v>
      </c>
      <c r="N12" s="1" t="n">
        <v>61.4</v>
      </c>
      <c r="O12" s="1" t="n">
        <v>16</v>
      </c>
      <c r="P12" s="1" t="n">
        <v>11.1</v>
      </c>
      <c r="Q12" s="1" t="n">
        <v>0.143</v>
      </c>
    </row>
    <row r="13" customFormat="false" ht="12.75" hidden="false" customHeight="false" outlineLevel="0" collapsed="false">
      <c r="A13" s="1" t="s">
        <v>182</v>
      </c>
      <c r="B13" s="1" t="n">
        <v>6</v>
      </c>
      <c r="C13" s="1" t="n">
        <v>0.78</v>
      </c>
      <c r="D13" s="1" t="n">
        <v>6</v>
      </c>
      <c r="E13" s="1" t="n">
        <v>1</v>
      </c>
      <c r="F13" s="1" t="n">
        <v>1</v>
      </c>
      <c r="G13" s="1" t="n">
        <v>76.3</v>
      </c>
      <c r="H13" s="1" t="n">
        <v>12</v>
      </c>
      <c r="I13" s="1" t="n">
        <v>9</v>
      </c>
      <c r="J13" s="1" t="n">
        <v>2</v>
      </c>
      <c r="K13" s="1" t="n">
        <v>11.2</v>
      </c>
      <c r="L13" s="1" t="n">
        <v>0.364620939</v>
      </c>
      <c r="M13" s="1" t="n">
        <v>0.24</v>
      </c>
      <c r="N13" s="1" t="n">
        <v>65.5</v>
      </c>
      <c r="O13" s="1" t="n">
        <v>11</v>
      </c>
      <c r="P13" s="1" t="n">
        <v>10.5</v>
      </c>
      <c r="Q13" s="1" t="n">
        <v>0.786</v>
      </c>
    </row>
    <row r="14" customFormat="false" ht="12.75" hidden="false" customHeight="false" outlineLevel="0" collapsed="false">
      <c r="A14" s="1" t="s">
        <v>86</v>
      </c>
      <c r="B14" s="1" t="n">
        <v>2</v>
      </c>
      <c r="C14" s="1" t="n">
        <v>0.865</v>
      </c>
      <c r="D14" s="1" t="n">
        <v>8</v>
      </c>
      <c r="E14" s="1" t="n">
        <v>1</v>
      </c>
      <c r="F14" s="1" t="n">
        <v>1</v>
      </c>
      <c r="G14" s="1" t="n">
        <v>75.3</v>
      </c>
      <c r="H14" s="1" t="n">
        <v>10</v>
      </c>
      <c r="I14" s="1" t="n">
        <v>4</v>
      </c>
      <c r="J14" s="1" t="n">
        <v>3</v>
      </c>
      <c r="K14" s="1" t="n">
        <v>12.1</v>
      </c>
      <c r="L14" s="1" t="n">
        <f aca="false">418/1303</f>
        <v>0.3207981581</v>
      </c>
      <c r="M14" s="1" t="n">
        <v>0.292</v>
      </c>
      <c r="N14" s="1" t="n">
        <v>64.7</v>
      </c>
      <c r="O14" s="1" t="n">
        <v>12</v>
      </c>
      <c r="P14" s="1" t="n">
        <v>23.8</v>
      </c>
      <c r="Q14" s="1" t="n">
        <v>0.6</v>
      </c>
    </row>
    <row r="15" customFormat="false" ht="12.75" hidden="false" customHeight="false" outlineLevel="0" collapsed="false">
      <c r="A15" s="1" t="s">
        <v>62</v>
      </c>
      <c r="B15" s="1" t="n">
        <v>3</v>
      </c>
      <c r="C15" s="1" t="n">
        <v>0.784</v>
      </c>
      <c r="D15" s="1" t="n">
        <v>8</v>
      </c>
      <c r="E15" s="1" t="n">
        <v>0</v>
      </c>
      <c r="F15" s="1" t="n">
        <v>1</v>
      </c>
      <c r="G15" s="1" t="n">
        <v>66.9</v>
      </c>
      <c r="H15" s="1" t="n">
        <v>13</v>
      </c>
      <c r="I15" s="1" t="n">
        <v>4</v>
      </c>
      <c r="J15" s="1" t="n">
        <v>1</v>
      </c>
      <c r="K15" s="1" t="n">
        <v>12.2</v>
      </c>
      <c r="L15" s="1" t="n">
        <f aca="false">432/1239</f>
        <v>0.3486682809</v>
      </c>
      <c r="M15" s="1" t="n">
        <v>0.262</v>
      </c>
      <c r="N15" s="1" t="n">
        <v>63.4</v>
      </c>
      <c r="O15" s="1" t="n">
        <v>15</v>
      </c>
      <c r="P15" s="1" t="n">
        <v>13.1</v>
      </c>
      <c r="Q15" s="1" t="n">
        <v>0.6</v>
      </c>
    </row>
    <row r="16" customFormat="false" ht="12.75" hidden="false" customHeight="false" outlineLevel="0" collapsed="false">
      <c r="A16" s="1" t="s">
        <v>392</v>
      </c>
      <c r="B16" s="1" t="n">
        <v>2</v>
      </c>
      <c r="C16" s="1" t="n">
        <v>0.676</v>
      </c>
      <c r="D16" s="1" t="n">
        <v>6</v>
      </c>
      <c r="E16" s="1" t="n">
        <v>0</v>
      </c>
      <c r="F16" s="1" t="n">
        <v>1</v>
      </c>
      <c r="G16" s="1" t="n">
        <v>66.5</v>
      </c>
      <c r="H16" s="1" t="n">
        <v>2</v>
      </c>
      <c r="I16" s="1" t="n">
        <v>7</v>
      </c>
      <c r="J16" s="1" t="n">
        <v>2</v>
      </c>
      <c r="K16" s="1" t="n">
        <v>15.8</v>
      </c>
      <c r="L16" s="1" t="n">
        <f aca="false">193/605</f>
        <v>0.3190082645</v>
      </c>
      <c r="M16" s="1" t="n">
        <v>0.271</v>
      </c>
      <c r="N16" s="1" t="n">
        <v>62</v>
      </c>
      <c r="O16" s="1" t="n">
        <v>17</v>
      </c>
      <c r="P16" s="1" t="n">
        <v>10.1</v>
      </c>
      <c r="Q16" s="1" t="n">
        <v>0.25</v>
      </c>
    </row>
    <row r="17" customFormat="false" ht="12.75" hidden="false" customHeight="false" outlineLevel="0" collapsed="false">
      <c r="A17" s="1" t="s">
        <v>457</v>
      </c>
      <c r="B17" s="1" t="n">
        <v>1</v>
      </c>
      <c r="C17" s="1" t="n">
        <v>0.794</v>
      </c>
      <c r="D17" s="1" t="n">
        <v>9</v>
      </c>
      <c r="E17" s="1" t="n">
        <v>0</v>
      </c>
      <c r="F17" s="1" t="n">
        <v>0</v>
      </c>
      <c r="G17" s="1" t="n">
        <v>68.9</v>
      </c>
      <c r="H17" s="1" t="n">
        <v>2</v>
      </c>
      <c r="I17" s="1" t="n">
        <v>4</v>
      </c>
      <c r="J17" s="1" t="n">
        <v>1</v>
      </c>
      <c r="K17" s="1" t="n">
        <v>11</v>
      </c>
      <c r="L17" s="1" t="n">
        <f aca="false">339/1123</f>
        <v>0.3018699911</v>
      </c>
      <c r="M17" s="1" t="n">
        <v>0.275</v>
      </c>
      <c r="N17" s="1" t="n">
        <v>62.5</v>
      </c>
      <c r="O17" s="1" t="n">
        <v>18</v>
      </c>
      <c r="P17" s="1" t="n">
        <v>18.2</v>
      </c>
      <c r="Q17" s="1" t="n">
        <v>0.5</v>
      </c>
    </row>
    <row r="18" customFormat="false" ht="12.75" hidden="false" customHeight="false" outlineLevel="0" collapsed="false">
      <c r="A18" s="1" t="s">
        <v>246</v>
      </c>
      <c r="B18" s="1" t="n">
        <v>0</v>
      </c>
      <c r="C18" s="1" t="n">
        <v>0.656</v>
      </c>
      <c r="D18" s="1" t="n">
        <v>5</v>
      </c>
      <c r="E18" s="1" t="n">
        <v>0</v>
      </c>
      <c r="F18" s="1" t="n">
        <v>1</v>
      </c>
      <c r="G18" s="1" t="n">
        <v>73.4</v>
      </c>
      <c r="H18" s="1" t="n">
        <v>11</v>
      </c>
      <c r="I18" s="1" t="n">
        <v>11</v>
      </c>
      <c r="J18" s="1" t="n">
        <v>2</v>
      </c>
      <c r="K18" s="1" t="n">
        <v>13.2</v>
      </c>
      <c r="L18" s="1" t="n">
        <v>0.298564593</v>
      </c>
      <c r="M18" s="1" t="n">
        <v>0.296</v>
      </c>
      <c r="N18" s="1" t="n">
        <v>66.3</v>
      </c>
      <c r="O18" s="1" t="n">
        <v>15</v>
      </c>
      <c r="P18" s="1" t="n">
        <v>7.6</v>
      </c>
      <c r="Q18" s="1" t="n">
        <v>0.714</v>
      </c>
    </row>
    <row r="19" customFormat="false" ht="12.75" hidden="false" customHeight="false" outlineLevel="0" collapsed="false">
      <c r="A19" s="1" t="s">
        <v>247</v>
      </c>
      <c r="B19" s="1" t="n">
        <v>0</v>
      </c>
      <c r="C19" s="1" t="n">
        <v>0.636</v>
      </c>
      <c r="D19" s="1" t="n">
        <v>5</v>
      </c>
      <c r="E19" s="1" t="n">
        <v>0</v>
      </c>
      <c r="F19" s="1" t="n">
        <v>1</v>
      </c>
      <c r="G19" s="1" t="n">
        <v>69.7</v>
      </c>
      <c r="H19" s="1" t="n">
        <v>3</v>
      </c>
      <c r="I19" s="1" t="n">
        <v>10</v>
      </c>
      <c r="J19" s="1" t="n">
        <v>0</v>
      </c>
      <c r="K19" s="1" t="n">
        <v>13.2</v>
      </c>
      <c r="L19" s="1" t="n">
        <v>0.328</v>
      </c>
      <c r="M19" s="1" t="n">
        <v>0.206</v>
      </c>
      <c r="N19" s="1" t="n">
        <v>64.4</v>
      </c>
      <c r="O19" s="1" t="n">
        <v>12</v>
      </c>
      <c r="P19" s="1" t="n">
        <v>6.9</v>
      </c>
      <c r="Q19" s="1" t="n">
        <v>0.8</v>
      </c>
    </row>
    <row r="20" customFormat="false" ht="12.75" hidden="false" customHeight="false" outlineLevel="0" collapsed="false">
      <c r="A20" s="1" t="s">
        <v>43</v>
      </c>
      <c r="B20" s="1" t="n">
        <v>1</v>
      </c>
      <c r="C20" s="1" t="n">
        <v>0.714</v>
      </c>
      <c r="D20" s="1" t="n">
        <v>9</v>
      </c>
      <c r="E20" s="1" t="n">
        <v>0</v>
      </c>
      <c r="F20" s="1" t="n">
        <v>0</v>
      </c>
      <c r="G20" s="1" t="n">
        <v>76.2</v>
      </c>
      <c r="H20" s="1" t="n">
        <v>2</v>
      </c>
      <c r="I20" s="1" t="n">
        <v>6</v>
      </c>
      <c r="J20" s="1" t="n">
        <v>3</v>
      </c>
      <c r="K20" s="1" t="n">
        <v>13.6</v>
      </c>
      <c r="L20" s="1" t="n">
        <v>0.3028</v>
      </c>
      <c r="M20" s="1" t="n">
        <v>0.222</v>
      </c>
      <c r="N20" s="1" t="n">
        <v>66.1</v>
      </c>
      <c r="O20" s="1" t="n">
        <v>13</v>
      </c>
      <c r="P20" s="1" t="n">
        <v>16.9</v>
      </c>
      <c r="Q20" s="25" t="n">
        <v>0.5</v>
      </c>
    </row>
    <row r="21" customFormat="false" ht="12.75" hidden="false" customHeight="false" outlineLevel="0" collapsed="false">
      <c r="A21" s="1" t="s">
        <v>187</v>
      </c>
      <c r="B21" s="1" t="n">
        <v>0</v>
      </c>
      <c r="C21" s="1" t="n">
        <v>0.727</v>
      </c>
      <c r="D21" s="1" t="n">
        <v>7</v>
      </c>
      <c r="E21" s="1" t="n">
        <v>1</v>
      </c>
      <c r="F21" s="1" t="n">
        <v>0</v>
      </c>
      <c r="G21" s="1" t="n">
        <v>64.8</v>
      </c>
      <c r="H21" s="1" t="n">
        <v>1</v>
      </c>
      <c r="I21" s="1" t="n">
        <v>1</v>
      </c>
      <c r="J21" s="1" t="n">
        <v>0</v>
      </c>
      <c r="K21" s="1" t="n">
        <v>12</v>
      </c>
      <c r="L21" s="1" t="n">
        <v>0.3137</v>
      </c>
      <c r="M21" s="1" t="n">
        <v>0.287</v>
      </c>
      <c r="N21" s="1" t="n">
        <v>62.7</v>
      </c>
      <c r="O21" s="1" t="n">
        <v>21</v>
      </c>
      <c r="P21" s="1" t="n">
        <v>7.7</v>
      </c>
      <c r="Q21" s="1" t="n">
        <v>0.667</v>
      </c>
    </row>
    <row r="22" customFormat="false" ht="12.75" hidden="false" customHeight="false" outlineLevel="0" collapsed="false">
      <c r="A22" s="1" t="s">
        <v>363</v>
      </c>
      <c r="B22" s="1" t="n">
        <v>1</v>
      </c>
      <c r="C22" s="1" t="n">
        <v>0.588</v>
      </c>
      <c r="D22" s="1" t="n">
        <v>4</v>
      </c>
      <c r="E22" s="1" t="n">
        <v>0</v>
      </c>
      <c r="F22" s="1" t="n">
        <v>1</v>
      </c>
      <c r="G22" s="1" t="n">
        <v>72.9</v>
      </c>
      <c r="H22" s="1" t="n">
        <v>7</v>
      </c>
      <c r="I22" s="1" t="n">
        <v>11</v>
      </c>
      <c r="J22" s="1" t="n">
        <v>1</v>
      </c>
      <c r="K22" s="1" t="n">
        <v>12.6</v>
      </c>
      <c r="L22" s="1" t="n">
        <v>0.2935</v>
      </c>
      <c r="M22" s="1" t="n">
        <v>0.288</v>
      </c>
      <c r="N22" s="1" t="n">
        <v>65.4</v>
      </c>
      <c r="O22" s="1" t="n">
        <v>15</v>
      </c>
      <c r="P22" s="1" t="n">
        <v>9.1</v>
      </c>
      <c r="Q22" s="1" t="n">
        <v>0.222</v>
      </c>
      <c r="R22" s="1" t="n">
        <v>14870</v>
      </c>
    </row>
    <row r="23" customFormat="false" ht="12.75" hidden="false" customHeight="false" outlineLevel="0" collapsed="false">
      <c r="A23" s="1" t="s">
        <v>458</v>
      </c>
      <c r="B23" s="1" t="n">
        <v>0</v>
      </c>
      <c r="C23" s="1" t="n">
        <v>0.588</v>
      </c>
      <c r="D23" s="1" t="n">
        <v>8</v>
      </c>
      <c r="E23" s="1" t="n">
        <v>1</v>
      </c>
      <c r="F23" s="1" t="n">
        <v>0</v>
      </c>
      <c r="G23" s="1" t="n">
        <v>71</v>
      </c>
      <c r="H23" s="1" t="n">
        <v>0</v>
      </c>
      <c r="I23" s="1" t="n">
        <v>4</v>
      </c>
      <c r="J23" s="1" t="n">
        <v>1</v>
      </c>
      <c r="K23" s="1" t="n">
        <v>13.8</v>
      </c>
      <c r="L23" s="1" t="n">
        <v>0.2981</v>
      </c>
      <c r="M23" s="1" t="n">
        <v>0.309</v>
      </c>
      <c r="N23" s="1" t="n">
        <v>65.2</v>
      </c>
      <c r="O23" s="1" t="n">
        <v>20</v>
      </c>
      <c r="P23" s="1" t="n">
        <v>3.6</v>
      </c>
      <c r="Q23" s="1" t="n">
        <v>0.75</v>
      </c>
    </row>
    <row r="24" customFormat="false" ht="12.75" hidden="false" customHeight="false" outlineLevel="0" collapsed="false">
      <c r="A24" s="1" t="s">
        <v>71</v>
      </c>
      <c r="B24" s="1" t="n">
        <v>3</v>
      </c>
      <c r="C24" s="1" t="n">
        <v>0.9211</v>
      </c>
      <c r="D24" s="1" t="n">
        <v>9</v>
      </c>
      <c r="E24" s="1" t="n">
        <v>1</v>
      </c>
      <c r="F24" s="1" t="n">
        <v>1</v>
      </c>
      <c r="G24" s="1" t="n">
        <v>67.9</v>
      </c>
      <c r="H24" s="1" t="n">
        <v>10</v>
      </c>
      <c r="I24" s="1" t="n">
        <v>3</v>
      </c>
      <c r="J24" s="1" t="n">
        <v>3</v>
      </c>
      <c r="K24" s="1" t="n">
        <v>13.2</v>
      </c>
      <c r="L24" s="1" t="n">
        <v>0.3028</v>
      </c>
      <c r="M24" s="1" t="n">
        <v>0.264</v>
      </c>
      <c r="N24" s="1" t="n">
        <v>64.7</v>
      </c>
      <c r="O24" s="1" t="n">
        <v>20</v>
      </c>
      <c r="P24" s="1" t="n">
        <v>24.3</v>
      </c>
      <c r="Q24" s="1" t="n">
        <v>1</v>
      </c>
      <c r="R24" s="1" t="n">
        <v>16433</v>
      </c>
    </row>
    <row r="25" customFormat="false" ht="12.75" hidden="false" customHeight="false" outlineLevel="0" collapsed="false">
      <c r="A25" s="1" t="s">
        <v>322</v>
      </c>
      <c r="B25" s="1" t="n">
        <v>1</v>
      </c>
      <c r="C25" s="1" t="n">
        <v>0.676</v>
      </c>
      <c r="D25" s="1" t="n">
        <v>8</v>
      </c>
      <c r="E25" s="1" t="n">
        <v>0</v>
      </c>
      <c r="F25" s="1" t="n">
        <v>1</v>
      </c>
      <c r="G25" s="1" t="n">
        <v>65.5</v>
      </c>
      <c r="H25" s="1" t="n">
        <v>4</v>
      </c>
      <c r="I25" s="1" t="n">
        <v>7</v>
      </c>
      <c r="J25" s="1" t="n">
        <v>2</v>
      </c>
      <c r="K25" s="1" t="n">
        <v>14.4</v>
      </c>
      <c r="L25" s="1" t="n">
        <v>0.302822273</v>
      </c>
      <c r="M25" s="1" t="n">
        <v>0.288</v>
      </c>
      <c r="N25" s="1" t="n">
        <v>66.3</v>
      </c>
      <c r="O25" s="1" t="n">
        <v>16</v>
      </c>
      <c r="P25" s="1" t="n">
        <v>10.3</v>
      </c>
      <c r="Q25" s="1" t="n">
        <v>0.625</v>
      </c>
    </row>
    <row r="26" customFormat="false" ht="12.75" hidden="false" customHeight="false" outlineLevel="0" collapsed="false">
      <c r="A26" s="1" t="s">
        <v>24</v>
      </c>
      <c r="B26" s="1" t="n">
        <v>3</v>
      </c>
      <c r="C26" s="1" t="n">
        <v>0.763</v>
      </c>
      <c r="D26" s="1" t="n">
        <v>8</v>
      </c>
      <c r="E26" s="1" t="n">
        <v>1</v>
      </c>
      <c r="F26" s="1" t="n">
        <v>1</v>
      </c>
      <c r="G26" s="1" t="n">
        <v>71</v>
      </c>
      <c r="H26" s="1" t="n">
        <v>10</v>
      </c>
      <c r="I26" s="1" t="n">
        <v>6</v>
      </c>
      <c r="J26" s="1" t="n">
        <v>2</v>
      </c>
      <c r="K26" s="1" t="n">
        <v>10.6</v>
      </c>
      <c r="L26" s="1" t="n">
        <v>0.317422434</v>
      </c>
      <c r="M26" s="1" t="n">
        <v>0.296</v>
      </c>
      <c r="N26" s="1" t="n">
        <v>63.5</v>
      </c>
      <c r="O26" s="1" t="n">
        <v>11</v>
      </c>
      <c r="P26" s="1" t="n">
        <v>18.7</v>
      </c>
      <c r="Q26" s="1" t="n">
        <f aca="false">3/10</f>
        <v>0.3</v>
      </c>
      <c r="R26" s="1" t="n">
        <v>24111</v>
      </c>
    </row>
    <row r="27" customFormat="false" ht="12.75" hidden="false" customHeight="false" outlineLevel="0" collapsed="false">
      <c r="A27" s="1" t="s">
        <v>459</v>
      </c>
      <c r="B27" s="1" t="n">
        <v>0</v>
      </c>
      <c r="C27" s="1" t="n">
        <v>0.818</v>
      </c>
      <c r="D27" s="1" t="n">
        <v>10</v>
      </c>
      <c r="E27" s="1" t="n">
        <v>1</v>
      </c>
      <c r="F27" s="1" t="n">
        <v>0</v>
      </c>
      <c r="G27" s="1" t="n">
        <v>64.6</v>
      </c>
      <c r="H27" s="1" t="n">
        <v>0</v>
      </c>
      <c r="I27" s="1" t="n">
        <v>2</v>
      </c>
      <c r="J27" s="1" t="n">
        <v>0</v>
      </c>
      <c r="K27" s="25" t="n">
        <v>15.1</v>
      </c>
      <c r="L27" s="1" t="n">
        <v>0.346038864</v>
      </c>
      <c r="M27" s="25" t="n">
        <v>0.252</v>
      </c>
      <c r="N27" s="1" t="n">
        <v>74.7</v>
      </c>
      <c r="O27" s="1" t="n">
        <v>19</v>
      </c>
      <c r="P27" s="1" t="n">
        <v>11.6</v>
      </c>
      <c r="Q27" s="25" t="n">
        <v>0.778</v>
      </c>
    </row>
    <row r="28" customFormat="false" ht="12.75" hidden="false" customHeight="false" outlineLevel="0" collapsed="false">
      <c r="A28" s="1" t="s">
        <v>109</v>
      </c>
      <c r="B28" s="1" t="n">
        <v>0</v>
      </c>
      <c r="C28" s="1" t="n">
        <v>0.714</v>
      </c>
      <c r="D28" s="1" t="n">
        <v>7</v>
      </c>
      <c r="E28" s="1" t="n">
        <v>0</v>
      </c>
      <c r="F28" s="1" t="n">
        <v>1</v>
      </c>
      <c r="G28" s="1" t="n">
        <v>66.3</v>
      </c>
      <c r="H28" s="1" t="n">
        <v>11</v>
      </c>
      <c r="I28" s="1" t="n">
        <v>8</v>
      </c>
      <c r="J28" s="1" t="n">
        <v>3</v>
      </c>
      <c r="K28" s="1" t="n">
        <v>13</v>
      </c>
      <c r="L28" s="1" t="n">
        <v>0.344328238</v>
      </c>
      <c r="M28" s="1" t="n">
        <v>0.353</v>
      </c>
      <c r="N28" s="1" t="n">
        <v>64.5</v>
      </c>
      <c r="O28" s="1" t="n">
        <v>14</v>
      </c>
      <c r="P28" s="1" t="n">
        <f aca="false">109.1-93.6</f>
        <v>15.5</v>
      </c>
      <c r="Q28" s="1" t="n">
        <v>0.545</v>
      </c>
      <c r="R28" s="1" t="n">
        <v>19397</v>
      </c>
    </row>
    <row r="29" customFormat="false" ht="12.75" hidden="false" customHeight="false" outlineLevel="0" collapsed="false">
      <c r="A29" s="1" t="s">
        <v>110</v>
      </c>
      <c r="B29" s="1" t="n">
        <v>2</v>
      </c>
      <c r="C29" s="1" t="n">
        <v>0.595</v>
      </c>
      <c r="D29" s="1" t="n">
        <v>5</v>
      </c>
      <c r="E29" s="1" t="n">
        <v>0</v>
      </c>
      <c r="F29" s="1" t="n">
        <v>1</v>
      </c>
      <c r="G29" s="1" t="n">
        <v>69.6</v>
      </c>
      <c r="H29" s="1" t="n">
        <v>7</v>
      </c>
      <c r="I29" s="1" t="n">
        <v>14</v>
      </c>
      <c r="J29" s="1" t="n">
        <v>3</v>
      </c>
      <c r="K29" s="1" t="n">
        <v>12.1</v>
      </c>
      <c r="L29" s="1" t="n">
        <v>0.342810723</v>
      </c>
      <c r="M29" s="1" t="n">
        <v>0.206</v>
      </c>
      <c r="N29" s="1" t="n">
        <v>68.8</v>
      </c>
      <c r="O29" s="1" t="n">
        <v>16</v>
      </c>
      <c r="P29" s="1" t="n">
        <f aca="false">111.2-100.9</f>
        <v>10.3</v>
      </c>
      <c r="Q29" s="1" t="n">
        <v>0.364</v>
      </c>
      <c r="R29" s="1" t="n">
        <v>15617</v>
      </c>
    </row>
    <row r="30" customFormat="false" ht="12.75" hidden="false" customHeight="false" outlineLevel="0" collapsed="false">
      <c r="A30" s="1" t="s">
        <v>325</v>
      </c>
      <c r="B30" s="1" t="n">
        <v>0</v>
      </c>
      <c r="C30" s="1" t="n">
        <v>0.714</v>
      </c>
      <c r="D30" s="1" t="n">
        <v>7</v>
      </c>
      <c r="E30" s="1" t="n">
        <v>1</v>
      </c>
      <c r="F30" s="1" t="n">
        <v>0</v>
      </c>
      <c r="G30" s="1" t="n">
        <v>68</v>
      </c>
      <c r="H30" s="1" t="n">
        <v>3</v>
      </c>
      <c r="I30" s="1" t="n">
        <v>4</v>
      </c>
      <c r="J30" s="1" t="n">
        <v>2</v>
      </c>
      <c r="K30" s="1" t="n">
        <v>15.1</v>
      </c>
      <c r="L30" s="1" t="n">
        <f aca="false">411/1213</f>
        <v>0.3388293487</v>
      </c>
      <c r="M30" s="1" t="n">
        <v>0.25</v>
      </c>
      <c r="N30" s="1" t="n">
        <v>68.3</v>
      </c>
      <c r="O30" s="1" t="n">
        <v>14</v>
      </c>
      <c r="P30" s="1" t="n">
        <v>5.6</v>
      </c>
      <c r="Q30" s="1" t="n">
        <v>0.867</v>
      </c>
      <c r="R30" s="1" t="n">
        <v>16498</v>
      </c>
    </row>
    <row r="31" customFormat="false" ht="12.75" hidden="false" customHeight="false" outlineLevel="0" collapsed="false">
      <c r="A31" s="1" t="s">
        <v>47</v>
      </c>
      <c r="B31" s="1" t="n">
        <v>1</v>
      </c>
      <c r="C31" s="1" t="n">
        <v>0.6</v>
      </c>
      <c r="D31" s="1" t="n">
        <v>7</v>
      </c>
      <c r="E31" s="1" t="n">
        <v>0</v>
      </c>
      <c r="F31" s="1" t="n">
        <v>1</v>
      </c>
      <c r="G31" s="1" t="n">
        <v>69.9</v>
      </c>
      <c r="H31" s="1" t="n">
        <v>7</v>
      </c>
      <c r="I31" s="1" t="n">
        <v>10</v>
      </c>
      <c r="J31" s="1" t="n">
        <v>1</v>
      </c>
      <c r="K31" s="1" t="n">
        <v>9.9</v>
      </c>
      <c r="L31" s="1" t="n">
        <f aca="false">273/1097</f>
        <v>0.2488605287</v>
      </c>
      <c r="M31" s="1" t="n">
        <v>0.369</v>
      </c>
      <c r="N31" s="1" t="n">
        <v>62.4</v>
      </c>
      <c r="O31" s="1" t="n">
        <v>15</v>
      </c>
      <c r="P31" s="1" t="n">
        <v>5.5</v>
      </c>
      <c r="Q31" s="1" t="n">
        <v>0.5</v>
      </c>
    </row>
    <row r="32" customFormat="false" ht="12.75" hidden="false" customHeight="false" outlineLevel="0" collapsed="false">
      <c r="A32" s="1" t="s">
        <v>194</v>
      </c>
      <c r="B32" s="1" t="n">
        <v>0</v>
      </c>
      <c r="C32" s="1" t="n">
        <v>0.559</v>
      </c>
      <c r="D32" s="1" t="n">
        <v>6</v>
      </c>
      <c r="E32" s="1" t="n">
        <v>0</v>
      </c>
      <c r="F32" s="1" t="n">
        <v>1</v>
      </c>
      <c r="G32" s="1" t="n">
        <v>70</v>
      </c>
      <c r="H32" s="1" t="n">
        <v>6</v>
      </c>
      <c r="I32" s="1" t="n">
        <v>14</v>
      </c>
      <c r="J32" s="1" t="n">
        <v>3</v>
      </c>
      <c r="K32" s="1" t="n">
        <v>13.3</v>
      </c>
      <c r="L32" s="1" t="n">
        <f aca="false">392/1220</f>
        <v>0.3213114754</v>
      </c>
      <c r="M32" s="1" t="n">
        <v>0.282</v>
      </c>
      <c r="N32" s="1" t="n">
        <v>66.3</v>
      </c>
      <c r="O32" s="1" t="n">
        <v>18</v>
      </c>
      <c r="P32" s="1" t="n">
        <v>3.5</v>
      </c>
      <c r="Q32" s="1" t="n">
        <v>0.643</v>
      </c>
      <c r="R32" s="1" t="n">
        <v>14759</v>
      </c>
    </row>
    <row r="33" customFormat="false" ht="12.75" hidden="false" customHeight="false" outlineLevel="0" collapsed="false">
      <c r="A33" s="1" t="s">
        <v>39</v>
      </c>
      <c r="B33" s="1" t="n">
        <v>0</v>
      </c>
      <c r="C33" s="1" t="n">
        <v>0.676</v>
      </c>
      <c r="D33" s="1" t="n">
        <v>5</v>
      </c>
      <c r="E33" s="1" t="n">
        <v>0</v>
      </c>
      <c r="F33" s="1" t="n">
        <v>1</v>
      </c>
      <c r="G33" s="1" t="n">
        <v>73.9</v>
      </c>
      <c r="H33" s="1" t="n">
        <v>4</v>
      </c>
      <c r="I33" s="1" t="n">
        <v>8</v>
      </c>
      <c r="J33" s="1" t="n">
        <v>2</v>
      </c>
      <c r="K33" s="1" t="n">
        <v>12.4</v>
      </c>
      <c r="L33" s="1" t="n">
        <f aca="false">410/1166</f>
        <v>0.3516295026</v>
      </c>
      <c r="M33" s="1" t="n">
        <v>0.264</v>
      </c>
      <c r="N33" s="1" t="n">
        <v>72</v>
      </c>
      <c r="O33" s="1" t="n">
        <v>23</v>
      </c>
      <c r="P33" s="1" t="n">
        <v>13.5</v>
      </c>
      <c r="Q33" s="1" t="n">
        <v>0.667</v>
      </c>
    </row>
    <row r="34" customFormat="false" ht="12.75" hidden="false" customHeight="false" outlineLevel="0" collapsed="false">
      <c r="A34" s="1" t="s">
        <v>460</v>
      </c>
      <c r="B34" s="1" t="n">
        <v>1</v>
      </c>
      <c r="C34" s="1" t="n">
        <v>0.714</v>
      </c>
      <c r="D34" s="1" t="n">
        <v>9</v>
      </c>
      <c r="E34" s="1" t="n">
        <v>1</v>
      </c>
      <c r="F34" s="1" t="n">
        <v>0</v>
      </c>
      <c r="G34" s="1" t="n">
        <v>67.4</v>
      </c>
      <c r="H34" s="1" t="n">
        <v>2</v>
      </c>
      <c r="I34" s="1" t="n">
        <v>3</v>
      </c>
      <c r="J34" s="1" t="n">
        <v>1</v>
      </c>
      <c r="K34" s="1" t="n">
        <v>14.7</v>
      </c>
      <c r="L34" s="1" t="n">
        <f aca="false">455/1236</f>
        <v>0.3681229773</v>
      </c>
      <c r="M34" s="1" t="n">
        <v>0.261</v>
      </c>
      <c r="N34" s="1" t="n">
        <v>62.1</v>
      </c>
      <c r="O34" s="1" t="n">
        <v>18</v>
      </c>
      <c r="P34" s="1" t="n">
        <v>12.3</v>
      </c>
      <c r="Q34" s="1" t="n">
        <v>0.5</v>
      </c>
    </row>
    <row r="35" customFormat="false" ht="12.75" hidden="false" customHeight="false" outlineLevel="0" collapsed="false">
      <c r="A35" s="1" t="s">
        <v>461</v>
      </c>
      <c r="B35" s="1" t="n">
        <v>0</v>
      </c>
      <c r="C35" s="1" t="n">
        <v>0.656</v>
      </c>
      <c r="D35" s="1" t="n">
        <v>9</v>
      </c>
      <c r="E35" s="1" t="n">
        <v>1</v>
      </c>
      <c r="F35" s="1" t="n">
        <v>0</v>
      </c>
      <c r="G35" s="1" t="n">
        <v>77</v>
      </c>
      <c r="H35" s="1" t="n">
        <v>1</v>
      </c>
      <c r="I35" s="1" t="n">
        <v>4</v>
      </c>
      <c r="J35" s="1" t="n">
        <v>0</v>
      </c>
      <c r="K35" s="1" t="n">
        <v>13.3</v>
      </c>
      <c r="L35" s="1" t="n">
        <f aca="false">366/1118</f>
        <v>0.3273703041</v>
      </c>
      <c r="M35" s="1" t="n">
        <v>0.34</v>
      </c>
      <c r="N35" s="1" t="n">
        <v>66.7</v>
      </c>
      <c r="O35" s="1" t="n">
        <v>13</v>
      </c>
      <c r="P35" s="1" t="n">
        <v>9.6</v>
      </c>
      <c r="Q35" s="1" t="n">
        <v>0.846</v>
      </c>
    </row>
    <row r="36" customFormat="false" ht="12.75" hidden="false" customHeight="false" outlineLevel="0" collapsed="false">
      <c r="A36" s="1" t="s">
        <v>121</v>
      </c>
      <c r="B36" s="1" t="n">
        <v>1</v>
      </c>
      <c r="C36" s="1" t="n">
        <v>0.794</v>
      </c>
      <c r="D36" s="1" t="n">
        <v>8</v>
      </c>
      <c r="E36" s="1" t="n">
        <v>0</v>
      </c>
      <c r="F36" s="1" t="n">
        <v>1</v>
      </c>
      <c r="G36" s="1" t="n">
        <v>72.4</v>
      </c>
      <c r="H36" s="1" t="n">
        <v>13</v>
      </c>
      <c r="I36" s="1" t="n">
        <v>5</v>
      </c>
      <c r="J36" s="1" t="n">
        <v>2</v>
      </c>
      <c r="K36" s="1" t="n">
        <v>10.4</v>
      </c>
      <c r="L36" s="1" t="n">
        <f aca="false">350/1182</f>
        <v>0.296108291</v>
      </c>
      <c r="M36" s="1" t="n">
        <v>0.32</v>
      </c>
      <c r="N36" s="1" t="n">
        <v>65.5</v>
      </c>
      <c r="O36" s="1" t="n">
        <v>14</v>
      </c>
      <c r="P36" s="1" t="n">
        <f aca="false">116.5-100.6</f>
        <v>15.9</v>
      </c>
      <c r="Q36" s="1" t="n">
        <v>1</v>
      </c>
    </row>
    <row r="37" customFormat="false" ht="12.75" hidden="false" customHeight="false" outlineLevel="0" collapsed="false">
      <c r="A37" s="1" t="s">
        <v>462</v>
      </c>
      <c r="B37" s="1" t="n">
        <v>0</v>
      </c>
      <c r="C37" s="1" t="n">
        <v>0.714</v>
      </c>
      <c r="D37" s="1" t="n">
        <v>9</v>
      </c>
      <c r="E37" s="1" t="n">
        <v>1</v>
      </c>
      <c r="F37" s="1" t="n">
        <v>0</v>
      </c>
      <c r="G37" s="1" t="n">
        <v>72.1</v>
      </c>
      <c r="H37" s="1" t="n">
        <v>1</v>
      </c>
      <c r="I37" s="1" t="n">
        <v>6</v>
      </c>
      <c r="J37" s="1" t="n">
        <v>1</v>
      </c>
      <c r="K37" s="1" t="n">
        <v>13.4</v>
      </c>
      <c r="L37" s="1" t="n">
        <f aca="false">434/1328</f>
        <v>0.3268072289</v>
      </c>
      <c r="M37" s="1" t="n">
        <v>0.281</v>
      </c>
      <c r="N37" s="1" t="n">
        <v>76.8</v>
      </c>
      <c r="O37" s="1" t="n">
        <v>16</v>
      </c>
      <c r="P37" s="1" t="n">
        <f aca="false">117.7-105.3</f>
        <v>12.4</v>
      </c>
      <c r="Q37" s="1" t="n">
        <v>0.333</v>
      </c>
    </row>
    <row r="38" customFormat="false" ht="12.75" hidden="false" customHeight="false" outlineLevel="0" collapsed="false">
      <c r="A38" s="1" t="s">
        <v>41</v>
      </c>
      <c r="B38" s="1" t="n">
        <v>2</v>
      </c>
      <c r="C38" s="1" t="n">
        <v>0.9189</v>
      </c>
      <c r="D38" s="1" t="n">
        <v>8</v>
      </c>
      <c r="E38" s="1" t="n">
        <v>1</v>
      </c>
      <c r="F38" s="1" t="n">
        <v>1</v>
      </c>
      <c r="G38" s="1" t="n">
        <v>70.1</v>
      </c>
      <c r="H38" s="1" t="n">
        <v>16</v>
      </c>
      <c r="I38" s="1" t="n">
        <v>2</v>
      </c>
      <c r="J38" s="1" t="n">
        <v>2</v>
      </c>
      <c r="K38" s="1" t="n">
        <v>10</v>
      </c>
      <c r="L38" s="1" t="n">
        <f aca="false">381/1173</f>
        <v>0.3248081841</v>
      </c>
      <c r="M38" s="1" t="n">
        <v>0.3</v>
      </c>
      <c r="N38" s="1" t="n">
        <v>59.7</v>
      </c>
      <c r="O38" s="1" t="n">
        <v>13</v>
      </c>
      <c r="P38" s="1" t="n">
        <f aca="false">119.4-92.7</f>
        <v>26.7</v>
      </c>
      <c r="Q38" s="1" t="n">
        <f aca="false">6/8</f>
        <v>0.75</v>
      </c>
      <c r="R38" s="1" t="n">
        <v>14181</v>
      </c>
    </row>
    <row r="39" customFormat="false" ht="12.75" hidden="false" customHeight="false" outlineLevel="0" collapsed="false">
      <c r="A39" s="1" t="s">
        <v>463</v>
      </c>
      <c r="B39" s="1" t="n">
        <v>0</v>
      </c>
      <c r="C39" s="1" t="n">
        <v>0.794</v>
      </c>
      <c r="D39" s="1" t="n">
        <v>9</v>
      </c>
      <c r="E39" s="1" t="n">
        <v>1</v>
      </c>
      <c r="F39" s="1" t="n">
        <v>0</v>
      </c>
      <c r="G39" s="1" t="n">
        <v>66.8</v>
      </c>
      <c r="H39" s="1" t="n">
        <v>3</v>
      </c>
      <c r="I39" s="1" t="n">
        <v>4</v>
      </c>
      <c r="J39" s="1" t="n">
        <v>1</v>
      </c>
      <c r="K39" s="1" t="n">
        <v>12.4</v>
      </c>
      <c r="L39" s="1" t="n">
        <f aca="false">511/1326</f>
        <v>0.3853695324</v>
      </c>
      <c r="M39" s="1" t="n">
        <v>0.223</v>
      </c>
      <c r="N39" s="1" t="n">
        <v>58.4</v>
      </c>
      <c r="O39" s="1" t="n">
        <v>21</v>
      </c>
      <c r="P39" s="1" t="n">
        <f aca="false">108.4-96</f>
        <v>12.4</v>
      </c>
      <c r="Q39" s="1" t="n">
        <v>0.667</v>
      </c>
    </row>
    <row r="40" customFormat="false" ht="12.75" hidden="false" customHeight="false" outlineLevel="0" collapsed="false">
      <c r="A40" s="1" t="s">
        <v>464</v>
      </c>
      <c r="B40" s="1" t="n">
        <v>0</v>
      </c>
      <c r="C40" s="1" t="n">
        <v>0.559</v>
      </c>
      <c r="D40" s="1" t="n">
        <v>7</v>
      </c>
      <c r="E40" s="1" t="n">
        <v>0</v>
      </c>
      <c r="F40" s="1" t="n">
        <v>1</v>
      </c>
      <c r="G40" s="1" t="n">
        <v>72.4</v>
      </c>
      <c r="H40" s="1" t="n">
        <v>3</v>
      </c>
      <c r="I40" s="1" t="n">
        <v>10</v>
      </c>
      <c r="J40" s="1" t="n">
        <v>0</v>
      </c>
      <c r="K40" s="1" t="n">
        <v>10.3</v>
      </c>
      <c r="L40" s="1" t="n">
        <v>0.315738964</v>
      </c>
      <c r="M40" s="1" t="n">
        <v>0.302</v>
      </c>
      <c r="N40" s="1" t="n">
        <v>62.5</v>
      </c>
      <c r="O40" s="1" t="n">
        <v>14</v>
      </c>
      <c r="P40" s="1" t="n">
        <f aca="false">105.4-104.4</f>
        <v>1</v>
      </c>
      <c r="Q40" s="1" t="n">
        <v>0.667</v>
      </c>
    </row>
    <row r="41" customFormat="false" ht="12.75" hidden="false" customHeight="false" outlineLevel="0" collapsed="false">
      <c r="A41" s="1" t="s">
        <v>197</v>
      </c>
      <c r="B41" s="1" t="n">
        <v>1</v>
      </c>
      <c r="C41" s="1" t="n">
        <v>0.824</v>
      </c>
      <c r="D41" s="1" t="n">
        <v>7</v>
      </c>
      <c r="E41" s="1" t="n">
        <v>0</v>
      </c>
      <c r="F41" s="1" t="n">
        <v>1</v>
      </c>
      <c r="G41" s="1" t="n">
        <v>67.1</v>
      </c>
      <c r="H41" s="1" t="n">
        <v>8</v>
      </c>
      <c r="I41" s="1" t="n">
        <v>5</v>
      </c>
      <c r="J41" s="1" t="n">
        <v>3</v>
      </c>
      <c r="K41" s="1" t="n">
        <v>11.4</v>
      </c>
      <c r="L41" s="1" t="n">
        <f aca="false">455/1275</f>
        <v>0.3568627451</v>
      </c>
      <c r="M41" s="1" t="n">
        <v>0.241</v>
      </c>
      <c r="N41" s="1" t="n">
        <v>61</v>
      </c>
      <c r="O41" s="1" t="n">
        <v>18</v>
      </c>
      <c r="P41" s="1" t="n">
        <f aca="false">116.3-95.7</f>
        <v>20.6</v>
      </c>
      <c r="Q41" s="1" t="n">
        <v>0.5</v>
      </c>
    </row>
    <row r="42" customFormat="false" ht="12.75" hidden="false" customHeight="false" outlineLevel="0" collapsed="false">
      <c r="A42" s="1" t="s">
        <v>124</v>
      </c>
      <c r="B42" s="1" t="n">
        <v>0</v>
      </c>
      <c r="C42" s="1" t="n">
        <v>0.781</v>
      </c>
      <c r="D42" s="1" t="n">
        <v>8</v>
      </c>
      <c r="E42" s="1" t="n">
        <v>0</v>
      </c>
      <c r="F42" s="1" t="n">
        <v>0</v>
      </c>
      <c r="G42" s="1" t="n">
        <v>73.2</v>
      </c>
      <c r="H42" s="1" t="n">
        <v>1</v>
      </c>
      <c r="I42" s="1" t="n">
        <v>2</v>
      </c>
      <c r="J42" s="1" t="n">
        <v>0</v>
      </c>
      <c r="K42" s="1" t="n">
        <v>11.9</v>
      </c>
      <c r="L42" s="1" t="n">
        <v>0.285051068</v>
      </c>
      <c r="M42" s="1" t="n">
        <v>0.262</v>
      </c>
      <c r="N42" s="1" t="n">
        <v>63.8</v>
      </c>
      <c r="O42" s="1" t="n">
        <v>19</v>
      </c>
      <c r="P42" s="1" t="n">
        <v>9.9</v>
      </c>
      <c r="Q42" s="1" t="n">
        <v>0.769</v>
      </c>
    </row>
    <row r="43" customFormat="false" ht="12.75" hidden="false" customHeight="false" outlineLevel="0" collapsed="false">
      <c r="A43" s="1" t="s">
        <v>69</v>
      </c>
      <c r="B43" s="1" t="n">
        <v>1</v>
      </c>
      <c r="C43" s="1" t="n">
        <v>0.765</v>
      </c>
      <c r="D43" s="1" t="n">
        <v>7</v>
      </c>
      <c r="E43" s="1" t="n">
        <v>0</v>
      </c>
      <c r="F43" s="1" t="n">
        <v>1</v>
      </c>
      <c r="G43" s="1" t="n">
        <v>71.5</v>
      </c>
      <c r="H43" s="1" t="n">
        <v>10</v>
      </c>
      <c r="I43" s="1" t="n">
        <v>3</v>
      </c>
      <c r="J43" s="1" t="n">
        <v>3</v>
      </c>
      <c r="K43" s="1" t="n">
        <v>10.4</v>
      </c>
      <c r="L43" s="1" t="n">
        <f aca="false">353/1127</f>
        <v>0.3132209406</v>
      </c>
      <c r="M43" s="1" t="n">
        <v>0.286</v>
      </c>
      <c r="N43" s="1" t="n">
        <v>61.9</v>
      </c>
      <c r="O43" s="1" t="n">
        <v>20</v>
      </c>
      <c r="P43" s="1" t="n">
        <f aca="false">109.6-92.7</f>
        <v>16.9</v>
      </c>
      <c r="Q43" s="1" t="n">
        <v>0.4</v>
      </c>
      <c r="R43" s="1" t="n">
        <v>13681</v>
      </c>
    </row>
    <row r="44" customFormat="false" ht="12.75" hidden="false" customHeight="false" outlineLevel="0" collapsed="false">
      <c r="A44" s="1" t="s">
        <v>465</v>
      </c>
      <c r="B44" s="1" t="n">
        <v>2</v>
      </c>
      <c r="C44" s="1" t="n">
        <v>0.765</v>
      </c>
      <c r="D44" s="1" t="n">
        <v>9</v>
      </c>
      <c r="E44" s="1" t="n">
        <v>1</v>
      </c>
      <c r="F44" s="1" t="n">
        <v>0</v>
      </c>
      <c r="G44" s="1" t="n">
        <v>68.7</v>
      </c>
      <c r="H44" s="1" t="n">
        <v>4</v>
      </c>
      <c r="I44" s="1" t="n">
        <v>4</v>
      </c>
      <c r="J44" s="1" t="n">
        <v>1</v>
      </c>
      <c r="K44" s="1" t="n">
        <v>10.1</v>
      </c>
      <c r="L44" s="1" t="n">
        <f aca="false">308/1128</f>
        <v>0.2730496454</v>
      </c>
      <c r="M44" s="1" t="n">
        <v>0.334</v>
      </c>
      <c r="N44" s="1" t="n">
        <v>61.2</v>
      </c>
      <c r="O44" s="1" t="n">
        <v>16</v>
      </c>
      <c r="P44" s="1" t="n">
        <f aca="false">109.4-95.1</f>
        <v>14.3</v>
      </c>
      <c r="Q44" s="1" t="n">
        <v>0.5</v>
      </c>
    </row>
    <row r="45" customFormat="false" ht="12.75" hidden="false" customHeight="false" outlineLevel="0" collapsed="false">
      <c r="A45" s="1" t="s">
        <v>260</v>
      </c>
      <c r="B45" s="1" t="n">
        <v>2</v>
      </c>
      <c r="C45" s="1" t="n">
        <v>0.919</v>
      </c>
      <c r="D45" s="1" t="n">
        <v>9</v>
      </c>
      <c r="E45" s="1" t="n">
        <v>1</v>
      </c>
      <c r="F45" s="1" t="n">
        <v>0</v>
      </c>
      <c r="G45" s="1" t="n">
        <v>69.7</v>
      </c>
      <c r="H45" s="1" t="n">
        <v>3</v>
      </c>
      <c r="I45" s="1" t="n">
        <v>1</v>
      </c>
      <c r="J45" s="1" t="n">
        <v>1</v>
      </c>
      <c r="K45" s="1" t="n">
        <v>10.6</v>
      </c>
      <c r="L45" s="1" t="n">
        <f aca="false">429/1272</f>
        <v>0.3372641509</v>
      </c>
      <c r="M45" s="1" t="n">
        <v>0.251</v>
      </c>
      <c r="N45" s="1" t="n">
        <v>59.2</v>
      </c>
      <c r="O45" s="1" t="n">
        <v>18</v>
      </c>
      <c r="P45" s="1" t="n">
        <f aca="false">112.6-91.9</f>
        <v>20.7</v>
      </c>
      <c r="Q45" s="1" t="n">
        <v>0.25</v>
      </c>
    </row>
    <row r="46" customFormat="false" ht="12.75" hidden="false" customHeight="false" outlineLevel="0" collapsed="false">
      <c r="A46" s="1" t="s">
        <v>261</v>
      </c>
      <c r="B46" s="1" t="n">
        <v>0</v>
      </c>
      <c r="C46" s="1" t="n">
        <v>0.636</v>
      </c>
      <c r="D46" s="1" t="n">
        <v>8</v>
      </c>
      <c r="E46" s="1" t="n">
        <v>0</v>
      </c>
      <c r="F46" s="1" t="n">
        <v>1</v>
      </c>
      <c r="G46" s="1" t="n">
        <v>71</v>
      </c>
      <c r="H46" s="1" t="n">
        <v>8</v>
      </c>
      <c r="I46" s="1" t="n">
        <v>8</v>
      </c>
      <c r="J46" s="1" t="n">
        <v>0</v>
      </c>
      <c r="K46" s="1" t="n">
        <v>12.2</v>
      </c>
      <c r="L46" s="1" t="n">
        <f aca="false">349/1048</f>
        <v>0.3330152672</v>
      </c>
      <c r="M46" s="1" t="n">
        <v>0.185</v>
      </c>
      <c r="N46" s="1" t="n">
        <v>67</v>
      </c>
      <c r="O46" s="1" t="n">
        <v>8</v>
      </c>
      <c r="P46" s="1" t="n">
        <f aca="false">105.2-99.7</f>
        <v>5.5</v>
      </c>
      <c r="Q46" s="1" t="n">
        <v>0.667</v>
      </c>
    </row>
    <row r="47" customFormat="false" ht="12.75" hidden="false" customHeight="false" outlineLevel="0" collapsed="false">
      <c r="A47" s="1" t="s">
        <v>466</v>
      </c>
      <c r="B47" s="1" t="n">
        <v>0</v>
      </c>
      <c r="C47" s="1" t="n">
        <v>0.588</v>
      </c>
      <c r="D47" s="1" t="n">
        <v>6</v>
      </c>
      <c r="E47" s="1" t="n">
        <v>1</v>
      </c>
      <c r="F47" s="1" t="n">
        <v>0</v>
      </c>
      <c r="G47" s="1" t="n">
        <v>64.4</v>
      </c>
      <c r="H47" s="1" t="n">
        <v>0</v>
      </c>
      <c r="I47" s="1" t="n">
        <v>2</v>
      </c>
      <c r="J47" s="1" t="n">
        <v>0</v>
      </c>
      <c r="K47" s="1" t="n">
        <v>14.6</v>
      </c>
      <c r="L47" s="1" t="n">
        <f aca="false">375/1181</f>
        <v>0.3175275191</v>
      </c>
      <c r="M47" s="1" t="n">
        <v>0.286</v>
      </c>
      <c r="N47" s="1" t="n">
        <v>60.1</v>
      </c>
      <c r="O47" s="1" t="n">
        <v>16</v>
      </c>
      <c r="P47" s="1" t="n">
        <f aca="false">93.3-91.1</f>
        <v>2.2</v>
      </c>
      <c r="Q47" s="1" t="n">
        <v>0.667</v>
      </c>
    </row>
    <row r="48" customFormat="false" ht="12.75" hidden="false" customHeight="false" outlineLevel="0" collapsed="false">
      <c r="A48" s="1" t="s">
        <v>81</v>
      </c>
      <c r="B48" s="1" t="n">
        <v>1</v>
      </c>
      <c r="C48" s="1" t="n">
        <v>0.771</v>
      </c>
      <c r="D48" s="1" t="n">
        <v>7</v>
      </c>
      <c r="E48" s="1" t="n">
        <v>0</v>
      </c>
      <c r="F48" s="1" t="n">
        <v>1</v>
      </c>
      <c r="G48" s="1" t="n">
        <v>66.5</v>
      </c>
      <c r="H48" s="1" t="n">
        <v>8</v>
      </c>
      <c r="I48" s="1" t="n">
        <v>7</v>
      </c>
      <c r="J48" s="1" t="n">
        <v>2</v>
      </c>
      <c r="K48" s="1" t="n">
        <v>12.3</v>
      </c>
      <c r="L48" s="1" t="n">
        <f aca="false">416/1249</f>
        <v>0.3330664532</v>
      </c>
      <c r="M48" s="1" t="n">
        <v>0.259</v>
      </c>
      <c r="N48" s="1" t="n">
        <v>63.3</v>
      </c>
      <c r="O48" s="1" t="n">
        <v>17</v>
      </c>
      <c r="P48" s="1" t="n">
        <f aca="false">110.5-95.1</f>
        <v>15.4</v>
      </c>
      <c r="Q48" s="1" t="n">
        <f aca="false">6/9</f>
        <v>0.6666666667</v>
      </c>
      <c r="R48" s="1" t="n">
        <v>22152</v>
      </c>
    </row>
    <row r="49" customFormat="false" ht="12.75" hidden="false" customHeight="false" outlineLevel="0" collapsed="false">
      <c r="A49" s="1" t="s">
        <v>202</v>
      </c>
      <c r="B49" s="1" t="n">
        <v>1</v>
      </c>
      <c r="C49" s="1" t="n">
        <v>0.765</v>
      </c>
      <c r="D49" s="1" t="n">
        <v>8</v>
      </c>
      <c r="E49" s="1" t="n">
        <v>0</v>
      </c>
      <c r="F49" s="1" t="n">
        <v>0</v>
      </c>
      <c r="G49" s="1" t="n">
        <v>69.8</v>
      </c>
      <c r="H49" s="1" t="n">
        <v>5</v>
      </c>
      <c r="I49" s="1" t="n">
        <v>5</v>
      </c>
      <c r="J49" s="1" t="n">
        <v>3</v>
      </c>
      <c r="K49" s="1" t="n">
        <v>10.7</v>
      </c>
      <c r="L49" s="1" t="n">
        <v>0.306</v>
      </c>
      <c r="M49" s="1" t="n">
        <v>0.258</v>
      </c>
      <c r="N49" s="1" t="n">
        <v>62.5</v>
      </c>
      <c r="O49" s="1" t="n">
        <v>18</v>
      </c>
      <c r="P49" s="1" t="n">
        <f aca="false">106.9-93.7</f>
        <v>13.2</v>
      </c>
      <c r="Q49" s="1" t="n">
        <v>0.625</v>
      </c>
    </row>
    <row r="50" customFormat="false" ht="12.75" hidden="false" customHeight="false" outlineLevel="0" collapsed="false">
      <c r="A50" s="1" t="s">
        <v>336</v>
      </c>
      <c r="B50" s="1" t="n">
        <v>0</v>
      </c>
      <c r="C50" s="1" t="n">
        <v>0.559</v>
      </c>
      <c r="D50" s="1" t="n">
        <v>4</v>
      </c>
      <c r="E50" s="1" t="n">
        <v>0</v>
      </c>
      <c r="F50" s="1" t="n">
        <v>1</v>
      </c>
      <c r="G50" s="1" t="n">
        <v>68.4</v>
      </c>
      <c r="H50" s="1" t="n">
        <v>8</v>
      </c>
      <c r="I50" s="1" t="n">
        <v>9</v>
      </c>
      <c r="J50" s="1" t="n">
        <v>3</v>
      </c>
      <c r="K50" s="1" t="n">
        <v>13.2</v>
      </c>
      <c r="L50" s="1" t="n">
        <v>0.366</v>
      </c>
      <c r="M50" s="1" t="n">
        <v>0.221</v>
      </c>
      <c r="N50" s="1" t="n">
        <v>67.5</v>
      </c>
      <c r="O50" s="1" t="n">
        <v>17</v>
      </c>
      <c r="P50" s="1" t="n">
        <v>4.9</v>
      </c>
      <c r="Q50" s="1" t="n">
        <v>0.5</v>
      </c>
      <c r="R50" s="1" t="n">
        <v>19168</v>
      </c>
    </row>
    <row r="51" customFormat="false" ht="12.75" hidden="false" customHeight="false" outlineLevel="0" collapsed="false">
      <c r="A51" s="1" t="s">
        <v>33</v>
      </c>
      <c r="B51" s="1" t="n">
        <v>1</v>
      </c>
      <c r="C51" s="1" t="n">
        <v>0.778</v>
      </c>
      <c r="D51" s="1" t="n">
        <v>6</v>
      </c>
      <c r="E51" s="1" t="n">
        <v>0</v>
      </c>
      <c r="F51" s="1" t="n">
        <v>1</v>
      </c>
      <c r="G51" s="1" t="n">
        <v>65.4</v>
      </c>
      <c r="H51" s="1" t="n">
        <v>8</v>
      </c>
      <c r="I51" s="1" t="n">
        <v>5</v>
      </c>
      <c r="J51" s="1" t="n">
        <v>3</v>
      </c>
      <c r="K51" s="1" t="n">
        <v>11.7</v>
      </c>
      <c r="L51" s="1" t="n">
        <v>0.34</v>
      </c>
      <c r="M51" s="1" t="n">
        <v>0.223</v>
      </c>
      <c r="N51" s="1" t="n">
        <v>62.2</v>
      </c>
      <c r="O51" s="1" t="n">
        <v>14</v>
      </c>
      <c r="P51" s="1" t="n">
        <v>19.8</v>
      </c>
      <c r="Q51" s="1" t="n">
        <v>0.333</v>
      </c>
      <c r="R51" s="1" t="n">
        <v>14629</v>
      </c>
    </row>
    <row r="52" customFormat="false" ht="12.75" hidden="false" customHeight="false" outlineLevel="0" collapsed="false">
      <c r="A52" s="1" t="s">
        <v>49</v>
      </c>
      <c r="B52" s="1" t="n">
        <v>0</v>
      </c>
      <c r="C52" s="1" t="n">
        <v>0.727</v>
      </c>
      <c r="D52" s="1" t="n">
        <v>7</v>
      </c>
      <c r="E52" s="1" t="n">
        <v>0</v>
      </c>
      <c r="F52" s="1" t="n">
        <v>1</v>
      </c>
      <c r="G52" s="1" t="n">
        <v>69.7</v>
      </c>
      <c r="H52" s="1" t="n">
        <v>5</v>
      </c>
      <c r="I52" s="1" t="n">
        <v>5</v>
      </c>
      <c r="J52" s="1" t="n">
        <v>3</v>
      </c>
      <c r="K52" s="1" t="n">
        <v>13</v>
      </c>
      <c r="L52" s="1" t="n">
        <v>0.344</v>
      </c>
      <c r="M52" s="1" t="n">
        <v>0.241</v>
      </c>
      <c r="N52" s="1" t="n">
        <v>61.3</v>
      </c>
      <c r="O52" s="1" t="n">
        <v>19</v>
      </c>
      <c r="P52" s="1" t="n">
        <v>12.3</v>
      </c>
      <c r="Q52" s="1" t="n">
        <v>0.778</v>
      </c>
    </row>
    <row r="53" customFormat="false" ht="12.75" hidden="false" customHeight="false" outlineLevel="0" collapsed="false">
      <c r="A53" s="1" t="s">
        <v>467</v>
      </c>
      <c r="B53" s="1" t="n">
        <v>0</v>
      </c>
      <c r="C53" s="1" t="n">
        <v>0.588</v>
      </c>
      <c r="D53" s="1" t="n">
        <v>7</v>
      </c>
      <c r="E53" s="1" t="n">
        <v>1</v>
      </c>
      <c r="F53" s="1" t="n">
        <v>0</v>
      </c>
      <c r="G53" s="1" t="n">
        <v>70.5</v>
      </c>
      <c r="H53" s="1" t="n">
        <v>1</v>
      </c>
      <c r="I53" s="1" t="n">
        <v>1</v>
      </c>
      <c r="J53" s="1" t="n">
        <v>0</v>
      </c>
      <c r="K53" s="1" t="n">
        <v>13.3</v>
      </c>
      <c r="L53" s="1" t="n">
        <v>0.306</v>
      </c>
      <c r="M53" s="1" t="n">
        <v>0.299</v>
      </c>
      <c r="N53" s="1" t="n">
        <v>70.5</v>
      </c>
      <c r="O53" s="1" t="n">
        <v>17</v>
      </c>
      <c r="P53" s="1" t="n">
        <v>1.8</v>
      </c>
      <c r="Q53" s="1" t="n">
        <f aca="false">8/13</f>
        <v>0.6153846154</v>
      </c>
    </row>
    <row r="54" customFormat="false" ht="12.75" hidden="false" customHeight="false" outlineLevel="0" collapsed="false">
      <c r="A54" s="1" t="s">
        <v>264</v>
      </c>
      <c r="B54" s="1" t="n">
        <v>-1</v>
      </c>
      <c r="C54" s="1" t="n">
        <v>0.71</v>
      </c>
      <c r="D54" s="1" t="n">
        <v>7</v>
      </c>
      <c r="E54" s="1" t="n">
        <v>0</v>
      </c>
      <c r="F54" s="1" t="n">
        <v>0</v>
      </c>
      <c r="G54" s="1" t="n">
        <v>71.7</v>
      </c>
      <c r="H54" s="1" t="n">
        <v>0</v>
      </c>
      <c r="I54" s="1" t="n">
        <v>5</v>
      </c>
      <c r="J54" s="1" t="n">
        <v>0</v>
      </c>
      <c r="K54" s="1" t="n">
        <v>12.1</v>
      </c>
      <c r="L54" s="1" t="n">
        <v>0.319</v>
      </c>
      <c r="M54" s="1" t="n">
        <v>0.338</v>
      </c>
      <c r="N54" s="1" t="n">
        <v>62.6</v>
      </c>
      <c r="O54" s="1" t="n">
        <v>15</v>
      </c>
      <c r="P54" s="1" t="n">
        <v>10.2</v>
      </c>
      <c r="Q54" s="1" t="n">
        <v>0.571</v>
      </c>
    </row>
    <row r="55" customFormat="false" ht="12.75" hidden="false" customHeight="false" outlineLevel="0" collapsed="false">
      <c r="A55" s="1" t="s">
        <v>64</v>
      </c>
      <c r="B55" s="1" t="n">
        <v>1</v>
      </c>
      <c r="C55" s="1" t="n">
        <v>0.676</v>
      </c>
      <c r="D55" s="1" t="n">
        <v>7</v>
      </c>
      <c r="E55" s="1" t="n">
        <v>0</v>
      </c>
      <c r="F55" s="1" t="n">
        <v>1</v>
      </c>
      <c r="G55" s="1" t="n">
        <v>67.9</v>
      </c>
      <c r="H55" s="1" t="n">
        <v>2</v>
      </c>
      <c r="I55" s="1" t="n">
        <v>6</v>
      </c>
      <c r="J55" s="1" t="n">
        <v>2</v>
      </c>
      <c r="K55" s="1" t="n">
        <v>14.4</v>
      </c>
      <c r="L55" s="1" t="n">
        <v>0.316</v>
      </c>
      <c r="M55" s="1" t="n">
        <v>0.218</v>
      </c>
      <c r="N55" s="1" t="n">
        <v>66.3</v>
      </c>
      <c r="O55" s="1" t="n">
        <v>15</v>
      </c>
      <c r="P55" s="1" t="n">
        <v>6.3</v>
      </c>
      <c r="Q55" s="1" t="n">
        <v>0.7</v>
      </c>
    </row>
    <row r="56" customFormat="false" ht="12.75" hidden="false" customHeight="false" outlineLevel="0" collapsed="false">
      <c r="A56" s="1" t="s">
        <v>468</v>
      </c>
      <c r="B56" s="1" t="n">
        <v>0</v>
      </c>
      <c r="C56" s="1" t="n">
        <v>0.563</v>
      </c>
      <c r="D56" s="1" t="n">
        <v>6</v>
      </c>
      <c r="E56" s="1" t="n">
        <v>0</v>
      </c>
      <c r="F56" s="1" t="n">
        <v>0</v>
      </c>
      <c r="G56" s="1" t="n">
        <v>75.2</v>
      </c>
      <c r="H56" s="1" t="n">
        <v>0</v>
      </c>
      <c r="I56" s="1" t="n">
        <v>2</v>
      </c>
      <c r="J56" s="1" t="n">
        <v>1</v>
      </c>
      <c r="K56" s="1" t="n">
        <v>14.2</v>
      </c>
      <c r="L56" s="1" t="n">
        <v>0.267</v>
      </c>
      <c r="M56" s="1" t="n">
        <v>0.308</v>
      </c>
      <c r="N56" s="1" t="n">
        <v>66.2</v>
      </c>
      <c r="O56" s="1" t="n">
        <v>16</v>
      </c>
      <c r="P56" s="1" t="n">
        <v>4.6</v>
      </c>
      <c r="Q56" s="1" t="n">
        <v>0.143</v>
      </c>
    </row>
    <row r="57" customFormat="false" ht="12.75" hidden="false" customHeight="false" outlineLevel="0" collapsed="false">
      <c r="A57" s="1" t="s">
        <v>469</v>
      </c>
      <c r="B57" s="1" t="n">
        <v>3</v>
      </c>
      <c r="C57" s="1" t="n">
        <v>0.784</v>
      </c>
      <c r="D57" s="1" t="n">
        <v>9</v>
      </c>
      <c r="E57" s="1" t="n">
        <v>0</v>
      </c>
      <c r="F57" s="1" t="n">
        <v>1</v>
      </c>
      <c r="G57" s="1" t="n">
        <v>67.2</v>
      </c>
      <c r="H57" s="1" t="n">
        <v>9</v>
      </c>
      <c r="I57" s="1" t="n">
        <v>6</v>
      </c>
      <c r="J57" s="1" t="n">
        <v>2</v>
      </c>
      <c r="K57" s="1" t="n">
        <v>15.2</v>
      </c>
      <c r="L57" s="1" t="n">
        <v>0.333</v>
      </c>
      <c r="M57" s="1" t="n">
        <v>0.301</v>
      </c>
      <c r="N57" s="1" t="n">
        <v>70.5</v>
      </c>
      <c r="O57" s="1" t="n">
        <v>16</v>
      </c>
      <c r="P57" s="1" t="n">
        <v>12.3</v>
      </c>
      <c r="Q57" s="1" t="n">
        <v>0.846</v>
      </c>
    </row>
    <row r="58" customFormat="false" ht="12.75" hidden="false" customHeight="false" outlineLevel="0" collapsed="false">
      <c r="A58" s="1" t="s">
        <v>470</v>
      </c>
      <c r="B58" s="1" t="n">
        <v>0</v>
      </c>
      <c r="C58" s="1" t="n">
        <v>0.588</v>
      </c>
      <c r="D58" s="1" t="n">
        <v>7</v>
      </c>
      <c r="E58" s="1" t="n">
        <v>1</v>
      </c>
      <c r="F58" s="1" t="n">
        <v>0</v>
      </c>
      <c r="G58" s="1" t="n">
        <v>71.1</v>
      </c>
      <c r="H58" s="1" t="n">
        <v>1</v>
      </c>
      <c r="I58" s="1" t="n">
        <v>3</v>
      </c>
      <c r="J58" s="1" t="n">
        <v>0</v>
      </c>
      <c r="K58" s="1" t="n">
        <v>15</v>
      </c>
      <c r="L58" s="1" t="n">
        <v>0.334</v>
      </c>
      <c r="M58" s="1" t="n">
        <v>0.201</v>
      </c>
      <c r="N58" s="1" t="n">
        <v>69.1</v>
      </c>
      <c r="O58" s="1" t="n">
        <v>22</v>
      </c>
      <c r="P58" s="1" t="n">
        <v>8.4</v>
      </c>
      <c r="Q58" s="1" t="n">
        <v>0.364</v>
      </c>
    </row>
    <row r="59" customFormat="false" ht="12.75" hidden="false" customHeight="false" outlineLevel="0" collapsed="false">
      <c r="A59" s="1" t="s">
        <v>378</v>
      </c>
      <c r="B59" s="1" t="n">
        <v>0</v>
      </c>
      <c r="C59" s="1" t="n">
        <v>0.727</v>
      </c>
      <c r="D59" s="1" t="n">
        <v>7</v>
      </c>
      <c r="E59" s="1" t="n">
        <v>0</v>
      </c>
      <c r="F59" s="1" t="n">
        <v>0</v>
      </c>
      <c r="G59" s="1" t="n">
        <v>68.9</v>
      </c>
      <c r="H59" s="1" t="n">
        <v>1</v>
      </c>
      <c r="I59" s="1" t="n">
        <v>5</v>
      </c>
      <c r="J59" s="1" t="n">
        <v>2</v>
      </c>
      <c r="K59" s="1" t="n">
        <v>12.5</v>
      </c>
      <c r="L59" s="1" t="n">
        <v>0.32</v>
      </c>
      <c r="M59" s="1" t="n">
        <v>0.234</v>
      </c>
      <c r="N59" s="1" t="n">
        <v>62.9</v>
      </c>
      <c r="O59" s="1" t="n">
        <v>20</v>
      </c>
      <c r="P59" s="1" t="n">
        <v>13.7</v>
      </c>
      <c r="Q59" s="1" t="n">
        <v>0.833</v>
      </c>
      <c r="R59" s="1" t="n">
        <v>13917</v>
      </c>
    </row>
    <row r="60" customFormat="false" ht="12.75" hidden="false" customHeight="false" outlineLevel="0" collapsed="false">
      <c r="A60" s="1" t="s">
        <v>131</v>
      </c>
      <c r="B60" s="1" t="n">
        <v>-1</v>
      </c>
      <c r="C60" s="1" t="n">
        <v>0.559</v>
      </c>
      <c r="D60" s="1" t="n">
        <v>7</v>
      </c>
      <c r="E60" s="1" t="n">
        <v>0</v>
      </c>
      <c r="F60" s="1" t="n">
        <v>1</v>
      </c>
      <c r="G60" s="1" t="n">
        <v>65.1</v>
      </c>
      <c r="H60" s="1" t="n">
        <v>5</v>
      </c>
      <c r="I60" s="1" t="n">
        <v>5</v>
      </c>
      <c r="J60" s="1" t="n">
        <v>2</v>
      </c>
      <c r="K60" s="1" t="n">
        <v>11.4</v>
      </c>
      <c r="L60" s="1" t="n">
        <v>0.299</v>
      </c>
      <c r="M60" s="1" t="n">
        <v>0.272</v>
      </c>
      <c r="N60" s="1" t="n">
        <v>62.7</v>
      </c>
      <c r="O60" s="1" t="n">
        <v>12</v>
      </c>
      <c r="P60" s="1" t="n">
        <v>6.3</v>
      </c>
      <c r="Q60" s="1" t="n">
        <v>0.455</v>
      </c>
    </row>
    <row r="61" customFormat="false" ht="12.75" hidden="false" customHeight="false" outlineLevel="0" collapsed="false">
      <c r="A61" s="1" t="s">
        <v>471</v>
      </c>
      <c r="B61" s="1" t="n">
        <v>0</v>
      </c>
      <c r="C61" s="1" t="n">
        <v>0.882</v>
      </c>
      <c r="D61" s="1" t="n">
        <v>9</v>
      </c>
      <c r="E61" s="1" t="n">
        <v>0</v>
      </c>
      <c r="F61" s="1" t="n">
        <v>0</v>
      </c>
      <c r="G61" s="1" t="n">
        <v>73.7</v>
      </c>
      <c r="H61" s="1" t="n">
        <v>0</v>
      </c>
      <c r="I61" s="1" t="n">
        <v>2</v>
      </c>
      <c r="J61" s="1" t="n">
        <v>2</v>
      </c>
      <c r="K61" s="1" t="n">
        <v>11.6</v>
      </c>
      <c r="L61" s="1" t="n">
        <v>0.287</v>
      </c>
      <c r="M61" s="1" t="n">
        <v>0.246</v>
      </c>
      <c r="N61" s="1" t="n">
        <v>58.5</v>
      </c>
      <c r="O61" s="1" t="n">
        <v>16</v>
      </c>
      <c r="P61" s="1" t="n">
        <f aca="false">111.8-90.3</f>
        <v>21.5</v>
      </c>
      <c r="Q61" s="1" t="n">
        <v>0.8</v>
      </c>
    </row>
    <row r="62" customFormat="false" ht="12.75" hidden="false" customHeight="false" outlineLevel="0" collapsed="false">
      <c r="A62" s="1" t="s">
        <v>133</v>
      </c>
      <c r="B62" s="1" t="n">
        <v>0</v>
      </c>
      <c r="C62" s="1" t="n">
        <v>0.676</v>
      </c>
      <c r="D62" s="1" t="n">
        <v>6</v>
      </c>
      <c r="E62" s="1" t="n">
        <v>0</v>
      </c>
      <c r="F62" s="1" t="n">
        <v>1</v>
      </c>
      <c r="G62" s="1" t="n">
        <v>74.3</v>
      </c>
      <c r="H62" s="1" t="n">
        <v>5</v>
      </c>
      <c r="I62" s="1" t="n">
        <v>8</v>
      </c>
      <c r="J62" s="1" t="n">
        <v>2</v>
      </c>
      <c r="K62" s="1" t="n">
        <v>12.9</v>
      </c>
      <c r="L62" s="1" t="n">
        <v>0.295</v>
      </c>
      <c r="M62" s="1" t="n">
        <v>0.306</v>
      </c>
      <c r="N62" s="1" t="n">
        <v>67.7</v>
      </c>
      <c r="O62" s="1" t="n">
        <v>23</v>
      </c>
      <c r="P62" s="1" t="n">
        <f aca="false">110.8-98.4</f>
        <v>12.4</v>
      </c>
      <c r="Q62" s="1" t="n">
        <v>0.333</v>
      </c>
      <c r="R62" s="1" t="n">
        <v>13623</v>
      </c>
    </row>
    <row r="63" customFormat="false" ht="12.75" hidden="false" customHeight="false" outlineLevel="0" collapsed="false">
      <c r="A63" s="1" t="s">
        <v>207</v>
      </c>
      <c r="B63" s="1" t="n">
        <v>4</v>
      </c>
      <c r="C63" s="1" t="n">
        <v>0.7179</v>
      </c>
      <c r="D63" s="1" t="n">
        <v>5</v>
      </c>
      <c r="E63" s="1" t="n">
        <v>0</v>
      </c>
      <c r="F63" s="1" t="n">
        <v>0</v>
      </c>
      <c r="G63" s="1" t="n">
        <v>71.5</v>
      </c>
      <c r="H63" s="1" t="n">
        <v>7</v>
      </c>
      <c r="I63" s="1" t="n">
        <v>6</v>
      </c>
      <c r="J63" s="1" t="n">
        <v>1</v>
      </c>
      <c r="K63" s="1" t="n">
        <v>11.1</v>
      </c>
      <c r="L63" s="1" t="n">
        <v>0.342</v>
      </c>
      <c r="M63" s="1" t="n">
        <v>0.355</v>
      </c>
      <c r="N63" s="1" t="n">
        <v>66.8</v>
      </c>
      <c r="O63" s="1" t="n">
        <v>15</v>
      </c>
      <c r="P63" s="1" t="n">
        <f aca="false">108.2-102</f>
        <v>6.2</v>
      </c>
      <c r="Q63" s="1" t="n">
        <v>0.6</v>
      </c>
    </row>
    <row r="64" customFormat="false" ht="12.75" hidden="false" customHeight="false" outlineLevel="0" collapsed="false">
      <c r="A64" s="1" t="s">
        <v>135</v>
      </c>
      <c r="B64" s="1" t="n">
        <v>0</v>
      </c>
      <c r="C64" s="1" t="n">
        <v>0.636</v>
      </c>
      <c r="D64" s="1" t="n">
        <v>3</v>
      </c>
      <c r="E64" s="1" t="n">
        <v>0</v>
      </c>
      <c r="F64" s="1" t="n">
        <v>1</v>
      </c>
      <c r="G64" s="1" t="n">
        <v>75.7</v>
      </c>
      <c r="H64" s="1" t="n">
        <v>7</v>
      </c>
      <c r="I64" s="1" t="n">
        <v>8</v>
      </c>
      <c r="J64" s="1" t="n">
        <v>3</v>
      </c>
      <c r="K64" s="1" t="n">
        <v>11.7</v>
      </c>
      <c r="L64" s="1" t="n">
        <v>0.33</v>
      </c>
      <c r="M64" s="1" t="n">
        <v>0.264</v>
      </c>
      <c r="N64" s="1" t="n">
        <v>65.4</v>
      </c>
      <c r="O64" s="1" t="n">
        <v>13</v>
      </c>
      <c r="P64" s="1" t="n">
        <v>10.8</v>
      </c>
      <c r="Q64" s="1" t="n">
        <f aca="false">5/12</f>
        <v>0.4166666667</v>
      </c>
    </row>
    <row r="65" customFormat="false" ht="12.75" hidden="false" customHeight="false" outlineLevel="0" collapsed="false">
      <c r="A65" s="1" t="s">
        <v>472</v>
      </c>
      <c r="B65" s="1" t="n">
        <v>1</v>
      </c>
      <c r="C65" s="1" t="n">
        <v>0.686</v>
      </c>
      <c r="D65" s="1" t="n">
        <v>7</v>
      </c>
      <c r="E65" s="1" t="n">
        <v>1</v>
      </c>
      <c r="F65" s="1" t="n">
        <v>1</v>
      </c>
      <c r="G65" s="1" t="n">
        <v>67.4</v>
      </c>
      <c r="H65" s="1" t="n">
        <v>5</v>
      </c>
      <c r="I65" s="1" t="n">
        <v>4</v>
      </c>
      <c r="J65" s="1" t="n">
        <v>2</v>
      </c>
      <c r="K65" s="1" t="n">
        <v>12.1</v>
      </c>
      <c r="L65" s="1" t="n">
        <v>0.357</v>
      </c>
      <c r="M65" s="1" t="n">
        <v>0.315</v>
      </c>
      <c r="N65" s="1" t="n">
        <v>70.7</v>
      </c>
      <c r="O65" s="1" t="n">
        <v>15</v>
      </c>
      <c r="P65" s="1" t="n">
        <v>18</v>
      </c>
      <c r="Q65" s="1" t="n">
        <v>0.3</v>
      </c>
    </row>
    <row r="66" customFormat="false" ht="12.75" hidden="false" customHeight="false" outlineLevel="0" collapsed="false">
      <c r="A66" s="1" t="s">
        <v>58</v>
      </c>
      <c r="B66" s="1" t="n">
        <v>1</v>
      </c>
      <c r="C66" s="1" t="n">
        <v>0.636</v>
      </c>
      <c r="D66" s="1" t="n">
        <v>5</v>
      </c>
      <c r="E66" s="1" t="n">
        <v>0</v>
      </c>
      <c r="F66" s="1" t="n">
        <v>1</v>
      </c>
      <c r="G66" s="1" t="n">
        <v>71.1</v>
      </c>
      <c r="H66" s="1" t="n">
        <v>9</v>
      </c>
      <c r="I66" s="1" t="n">
        <v>8</v>
      </c>
      <c r="J66" s="1" t="n">
        <v>3</v>
      </c>
      <c r="K66" s="1" t="n">
        <v>12</v>
      </c>
      <c r="L66" s="1" t="n">
        <v>0.384</v>
      </c>
      <c r="M66" s="1" t="n">
        <v>0.268</v>
      </c>
      <c r="N66" s="1" t="n">
        <v>64.7</v>
      </c>
      <c r="O66" s="1" t="n">
        <v>14</v>
      </c>
      <c r="P66" s="1" t="n">
        <v>8.5</v>
      </c>
      <c r="Q66" s="1" t="n">
        <f aca="false">5/11</f>
        <v>0.4545454545</v>
      </c>
    </row>
    <row r="67" customFormat="false" ht="12.75" hidden="false" customHeight="false" outlineLevel="0" collapsed="false">
      <c r="A67" s="1" t="s">
        <v>138</v>
      </c>
      <c r="B67" s="1" t="n">
        <v>2</v>
      </c>
      <c r="C67" s="1" t="n">
        <v>0.735</v>
      </c>
      <c r="D67" s="1" t="n">
        <v>7</v>
      </c>
      <c r="E67" s="1" t="n">
        <v>0</v>
      </c>
      <c r="F67" s="1" t="n">
        <v>1</v>
      </c>
      <c r="G67" s="1" t="n">
        <v>81.8</v>
      </c>
      <c r="H67" s="1" t="n">
        <v>10</v>
      </c>
      <c r="I67" s="1" t="n">
        <v>8</v>
      </c>
      <c r="J67" s="1" t="n">
        <v>3</v>
      </c>
      <c r="K67" s="1" t="n">
        <v>7.4</v>
      </c>
      <c r="L67" s="1" t="n">
        <v>0.329</v>
      </c>
      <c r="M67" s="1" t="n">
        <v>0.361</v>
      </c>
      <c r="N67" s="1" t="n">
        <v>58.6</v>
      </c>
      <c r="O67" s="1" t="n">
        <v>17</v>
      </c>
      <c r="P67" s="1" t="n">
        <v>17.2</v>
      </c>
      <c r="Q67" s="1" t="n">
        <v>1</v>
      </c>
      <c r="R67" s="1" t="n">
        <v>17230</v>
      </c>
    </row>
    <row r="68" customFormat="false" ht="12.75" hidden="false" customHeight="false" outlineLevel="0" collapsed="false">
      <c r="A68" s="1" t="s">
        <v>269</v>
      </c>
      <c r="B68" s="1" t="n">
        <v>0</v>
      </c>
      <c r="C68" s="1" t="n">
        <v>0.618</v>
      </c>
      <c r="D68" s="1" t="n">
        <v>9</v>
      </c>
      <c r="E68" s="1" t="n">
        <v>1</v>
      </c>
      <c r="F68" s="1" t="n">
        <v>0</v>
      </c>
      <c r="G68" s="1" t="n">
        <v>69.3</v>
      </c>
      <c r="H68" s="1" t="n">
        <v>1</v>
      </c>
      <c r="I68" s="1" t="n">
        <v>2</v>
      </c>
      <c r="J68" s="1" t="n">
        <v>1</v>
      </c>
      <c r="K68" s="1" t="n">
        <v>11.8</v>
      </c>
      <c r="L68" s="1" t="n">
        <v>0.34</v>
      </c>
      <c r="M68" s="1" t="n">
        <v>0.236</v>
      </c>
      <c r="N68" s="1" t="n">
        <v>68</v>
      </c>
      <c r="O68" s="1" t="n">
        <v>16</v>
      </c>
      <c r="P68" s="1" t="n">
        <v>9.1</v>
      </c>
      <c r="Q68" s="1" t="n">
        <v>0.5</v>
      </c>
    </row>
    <row r="69" customFormat="false" ht="12.75" hidden="false" customHeight="false" outlineLevel="0" collapsed="false">
      <c r="A69" s="1" t="s">
        <v>36</v>
      </c>
      <c r="B69" s="1" t="n">
        <v>0</v>
      </c>
      <c r="C69" s="1" t="n">
        <v>0.75</v>
      </c>
      <c r="D69" s="1" t="n">
        <v>9</v>
      </c>
      <c r="E69" s="1" t="n">
        <v>0</v>
      </c>
      <c r="F69" s="1" t="n">
        <v>0</v>
      </c>
      <c r="G69" s="1" t="n">
        <v>74.7</v>
      </c>
      <c r="H69" s="1" t="n">
        <v>4</v>
      </c>
      <c r="I69" s="1" t="n">
        <v>5</v>
      </c>
      <c r="J69" s="1" t="n">
        <v>3</v>
      </c>
      <c r="K69" s="1" t="n">
        <v>12</v>
      </c>
      <c r="L69" s="1" t="n">
        <v>0.288</v>
      </c>
      <c r="M69" s="1" t="n">
        <v>0.225</v>
      </c>
      <c r="N69" s="1" t="n">
        <v>64.6</v>
      </c>
      <c r="O69" s="1" t="n">
        <v>19</v>
      </c>
      <c r="P69" s="1" t="n">
        <v>12.2</v>
      </c>
      <c r="Q69" s="1" t="n">
        <f aca="false">6/9</f>
        <v>0.6666666667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2019-03-08T03:30:38Z</dcterms:modified>
  <cp:revision>3</cp:revision>
  <dc:subject/>
  <dc:title/>
</cp:coreProperties>
</file>