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yuci/Dropbox/제주도플젝/창고/"/>
    </mc:Choice>
  </mc:AlternateContent>
  <bookViews>
    <workbookView xWindow="0" yWindow="460" windowWidth="33600" windowHeight="19500" tabRatio="500" activeTab="1"/>
  </bookViews>
  <sheets>
    <sheet name="자재목록" sheetId="2" r:id="rId1"/>
    <sheet name="견적" sheetId="4" r:id="rId2"/>
    <sheet name="warehouse OSB" sheetId="10" r:id="rId3"/>
    <sheet name="warehouse timber" sheetId="9" r:id="rId4"/>
    <sheet name="shelf cutlist" sheetId="8" r:id="rId5"/>
    <sheet name="garden table cutlist" sheetId="6" r:id="rId6"/>
    <sheet name="horses cutlist" sheetId="11" r:id="rId7"/>
    <sheet name="JAS cutlist" sheetId="12" r:id="rId8"/>
    <sheet name="길이넓이부피" sheetId="3" r:id="rId9"/>
  </sheets>
  <definedNames>
    <definedName name="_xlnm._FilterDatabase" localSheetId="5" hidden="1">'garden table cutlist'!$A$1:$K$8</definedName>
    <definedName name="_xlnm._FilterDatabase" localSheetId="7" hidden="1">'JAS cutlist'!$A$1:$I$22</definedName>
    <definedName name="_xlnm._FilterDatabase" localSheetId="4" hidden="1">'shelf cutlist'!$A$1:$K$6</definedName>
    <definedName name="_xlnm._FilterDatabase" localSheetId="2">'warehouse OSB'!$A$1:$F$25</definedName>
    <definedName name="_xlnm._FilterDatabase" localSheetId="3">'warehouse timber'!$A$1:$G$35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4" l="1"/>
  <c r="N4" i="4"/>
  <c r="N3" i="4"/>
  <c r="H3" i="4"/>
  <c r="O3" i="4"/>
  <c r="N45" i="4"/>
  <c r="H20" i="4"/>
  <c r="N34" i="4"/>
  <c r="N18" i="4"/>
  <c r="N44" i="4"/>
  <c r="N46" i="4"/>
  <c r="N48" i="4"/>
  <c r="H22" i="12"/>
  <c r="C4" i="12"/>
  <c r="I10" i="12"/>
  <c r="I18" i="12"/>
  <c r="I12" i="12"/>
  <c r="I22" i="12"/>
  <c r="C15" i="12"/>
  <c r="C7" i="12"/>
  <c r="C5" i="12"/>
  <c r="C11" i="12"/>
  <c r="G11" i="12"/>
  <c r="C9" i="12"/>
  <c r="G9" i="12"/>
  <c r="H4" i="4"/>
  <c r="H5" i="4"/>
  <c r="H6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1" i="4"/>
  <c r="H34" i="4"/>
  <c r="H35" i="4"/>
  <c r="H36" i="4"/>
  <c r="H37" i="4"/>
  <c r="H38" i="4"/>
  <c r="H39" i="4"/>
  <c r="H44" i="4"/>
  <c r="I5" i="4"/>
  <c r="I11" i="4"/>
  <c r="I44" i="4"/>
  <c r="J35" i="4"/>
  <c r="J36" i="4"/>
  <c r="J44" i="4"/>
  <c r="K38" i="4"/>
  <c r="K44" i="4"/>
  <c r="L44" i="4"/>
  <c r="H45" i="4"/>
  <c r="G33" i="4"/>
  <c r="C40" i="9"/>
  <c r="C39" i="9"/>
  <c r="C38" i="9"/>
  <c r="C37" i="9"/>
  <c r="G36" i="9"/>
  <c r="G37" i="9"/>
  <c r="G38" i="9"/>
  <c r="G39" i="9"/>
  <c r="G40" i="9"/>
  <c r="C36" i="9"/>
  <c r="G35" i="9"/>
  <c r="C35" i="9"/>
  <c r="G33" i="9"/>
  <c r="C33" i="9"/>
  <c r="G34" i="9"/>
  <c r="C34" i="9"/>
  <c r="N9" i="3"/>
  <c r="M9" i="3"/>
  <c r="N8" i="3"/>
  <c r="M8" i="3"/>
  <c r="E35" i="3"/>
  <c r="D35" i="3"/>
  <c r="C35" i="3"/>
  <c r="N7" i="3"/>
  <c r="N6" i="3"/>
  <c r="C8" i="9"/>
  <c r="J8" i="9"/>
  <c r="F8" i="11"/>
  <c r="F9" i="11"/>
  <c r="I5" i="3"/>
  <c r="C17" i="9"/>
  <c r="J17" i="9"/>
  <c r="K16" i="9"/>
  <c r="C16" i="9"/>
  <c r="J16" i="9"/>
  <c r="K31" i="9"/>
  <c r="C31" i="9"/>
  <c r="J31" i="9"/>
  <c r="K30" i="9"/>
  <c r="C30" i="9"/>
  <c r="J30" i="9"/>
  <c r="I20" i="9"/>
  <c r="I19" i="9"/>
  <c r="K15" i="9"/>
  <c r="C14" i="9"/>
  <c r="C15" i="9"/>
  <c r="J15" i="9"/>
  <c r="K14" i="9"/>
  <c r="J14" i="9"/>
  <c r="G14" i="9"/>
  <c r="I11" i="9"/>
  <c r="K11" i="9"/>
  <c r="C11" i="9"/>
  <c r="J11" i="9"/>
  <c r="I10" i="9"/>
  <c r="K10" i="9"/>
  <c r="C10" i="9"/>
  <c r="J10" i="9"/>
  <c r="I8" i="9"/>
  <c r="C3" i="9"/>
  <c r="J3" i="9"/>
  <c r="I3" i="9"/>
  <c r="K3" i="9"/>
  <c r="C4" i="9"/>
  <c r="J4" i="9"/>
  <c r="I4" i="9"/>
  <c r="K4" i="9"/>
  <c r="C5" i="9"/>
  <c r="J5" i="9"/>
  <c r="I5" i="9"/>
  <c r="K5" i="9"/>
  <c r="C6" i="9"/>
  <c r="J6" i="9"/>
  <c r="I6" i="9"/>
  <c r="K6" i="9"/>
  <c r="I2" i="9"/>
  <c r="K2" i="9"/>
  <c r="C2" i="9"/>
  <c r="J2" i="9"/>
  <c r="C7" i="9"/>
  <c r="C20" i="9"/>
  <c r="C19" i="9"/>
  <c r="C32" i="9"/>
  <c r="C25" i="9"/>
  <c r="C28" i="9"/>
  <c r="C27" i="9"/>
  <c r="C26" i="9"/>
  <c r="C23" i="9"/>
  <c r="C29" i="9"/>
  <c r="C22" i="9"/>
  <c r="C13" i="9"/>
  <c r="C18" i="9"/>
  <c r="C21" i="9"/>
  <c r="C12" i="9"/>
  <c r="C9" i="9"/>
  <c r="C24" i="9"/>
  <c r="C20" i="3"/>
  <c r="G6" i="4"/>
  <c r="E2" i="3"/>
  <c r="E3" i="3"/>
  <c r="E10" i="3"/>
  <c r="C33" i="3"/>
  <c r="B32" i="3"/>
  <c r="I4" i="3"/>
  <c r="E6" i="3"/>
  <c r="E11" i="3"/>
  <c r="C32" i="3"/>
  <c r="C31" i="3"/>
  <c r="N5" i="3"/>
  <c r="E15" i="3"/>
  <c r="G3" i="4"/>
  <c r="G4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4" i="4"/>
  <c r="G31" i="4"/>
  <c r="G32" i="4"/>
  <c r="G44" i="4"/>
  <c r="B34" i="3"/>
  <c r="E16" i="3"/>
  <c r="C29" i="3"/>
  <c r="E29" i="3"/>
  <c r="C4" i="3"/>
  <c r="C12" i="3"/>
  <c r="C5" i="3"/>
  <c r="C13" i="3"/>
  <c r="C30" i="3"/>
  <c r="J8" i="6"/>
  <c r="J2" i="8"/>
  <c r="J3" i="8"/>
  <c r="J7" i="8"/>
  <c r="C28" i="3"/>
  <c r="E14" i="3"/>
  <c r="C24" i="3"/>
  <c r="C27" i="3"/>
  <c r="E5" i="3"/>
  <c r="E13" i="3"/>
  <c r="E12" i="3"/>
  <c r="B19" i="3"/>
  <c r="C19" i="3"/>
  <c r="M4" i="3"/>
  <c r="N4" i="3"/>
  <c r="M3" i="3"/>
  <c r="N3" i="3"/>
  <c r="E7" i="3"/>
  <c r="E8" i="3"/>
  <c r="E9" i="3"/>
  <c r="F9" i="3"/>
  <c r="F10" i="3"/>
  <c r="C14" i="3"/>
  <c r="C2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G36" i="2"/>
  <c r="H36" i="2"/>
  <c r="G37" i="2"/>
  <c r="H37" i="2"/>
  <c r="G2" i="2"/>
  <c r="H2" i="2"/>
  <c r="G3" i="2"/>
  <c r="H3" i="2"/>
  <c r="G4" i="2"/>
  <c r="H4" i="2"/>
  <c r="G5" i="2"/>
  <c r="H5" i="2"/>
  <c r="C6" i="2"/>
  <c r="G6" i="2"/>
  <c r="H6" i="2"/>
  <c r="G7" i="2"/>
  <c r="H7" i="2"/>
  <c r="G8" i="2"/>
  <c r="H8" i="2"/>
  <c r="G9" i="2"/>
  <c r="H9" i="2"/>
  <c r="G10" i="2"/>
  <c r="H10" i="2"/>
  <c r="G12" i="2"/>
  <c r="H12" i="2"/>
  <c r="G13" i="2"/>
  <c r="H13" i="2"/>
  <c r="G14" i="2"/>
  <c r="H14" i="2"/>
  <c r="G15" i="2"/>
  <c r="H15" i="2"/>
  <c r="G16" i="2"/>
  <c r="H16" i="2"/>
  <c r="F17" i="2"/>
  <c r="G17" i="2"/>
  <c r="H17" i="2"/>
  <c r="G18" i="2"/>
  <c r="H18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H34" i="2"/>
  <c r="H38" i="2"/>
  <c r="G35" i="2"/>
  <c r="G38" i="2"/>
  <c r="C26" i="3"/>
  <c r="C23" i="3"/>
  <c r="G40" i="2"/>
  <c r="B20" i="3"/>
  <c r="B21" i="3"/>
  <c r="C21" i="3"/>
  <c r="C22" i="3"/>
  <c r="F11" i="3"/>
  <c r="F13" i="3"/>
  <c r="C6" i="3"/>
  <c r="C11" i="3"/>
  <c r="C10" i="3"/>
  <c r="F12" i="3"/>
  <c r="I3" i="3"/>
</calcChain>
</file>

<file path=xl/sharedStrings.xml><?xml version="1.0" encoding="utf-8"?>
<sst xmlns="http://schemas.openxmlformats.org/spreadsheetml/2006/main" count="762" uniqueCount="377">
  <si>
    <t>Part#</t>
  </si>
  <si>
    <t>Description</t>
  </si>
  <si>
    <t>Length(L)</t>
  </si>
  <si>
    <t>Width(W)</t>
  </si>
  <si>
    <t>Thickness(T)</t>
  </si>
  <si>
    <t>Total Length (Feet)</t>
  </si>
  <si>
    <t>C-001</t>
  </si>
  <si>
    <t>9 1/4"</t>
  </si>
  <si>
    <t>1 1/2"</t>
  </si>
  <si>
    <t>C-002</t>
  </si>
  <si>
    <t xml:space="preserve"> Door Jack Stud</t>
  </si>
  <si>
    <t>3 1/2"</t>
  </si>
  <si>
    <t>C-003</t>
  </si>
  <si>
    <t xml:space="preserve"> Door Sill</t>
  </si>
  <si>
    <t>C-004</t>
  </si>
  <si>
    <t>C-005</t>
  </si>
  <si>
    <t>C-006</t>
  </si>
  <si>
    <t xml:space="preserve"> Gable Plate</t>
  </si>
  <si>
    <t xml:space="preserve"> Gable Stud 1</t>
  </si>
  <si>
    <t xml:space="preserve"> Gable Stud 2</t>
  </si>
  <si>
    <t xml:space="preserve"> Gable Stud 3</t>
  </si>
  <si>
    <t xml:space="preserve"> Gable Stud 4</t>
  </si>
  <si>
    <t>3' 10 1/2"</t>
  </si>
  <si>
    <t>5 1/4"</t>
  </si>
  <si>
    <t>4'</t>
  </si>
  <si>
    <t>0 7/16"</t>
  </si>
  <si>
    <t>8'</t>
  </si>
  <si>
    <t>2' 8"</t>
  </si>
  <si>
    <t xml:space="preserve"> OSB Full</t>
  </si>
  <si>
    <t xml:space="preserve"> Rafter</t>
  </si>
  <si>
    <t xml:space="preserve"> Rafter Ridge</t>
  </si>
  <si>
    <t xml:space="preserve"> Roof Joist</t>
  </si>
  <si>
    <t>1' 9 3/4"</t>
  </si>
  <si>
    <t xml:space="preserve"> Roof Joist Block 2</t>
  </si>
  <si>
    <t>1' 10 1/2"</t>
  </si>
  <si>
    <t xml:space="preserve"> Soffit 1</t>
  </si>
  <si>
    <t xml:space="preserve"> Soffit 2</t>
  </si>
  <si>
    <t xml:space="preserve"> Stud</t>
  </si>
  <si>
    <t>7' 8 5/8"</t>
  </si>
  <si>
    <t xml:space="preserve"> Window Cripple Stud</t>
  </si>
  <si>
    <t>3' 5 3/8"</t>
  </si>
  <si>
    <t>2' 3"</t>
  </si>
  <si>
    <t xml:space="preserve"> Window Jack Stud</t>
  </si>
  <si>
    <t xml:space="preserve"> Window Sill</t>
  </si>
  <si>
    <t>2'</t>
  </si>
  <si>
    <t>Q'ty</t>
  </si>
  <si>
    <t>OSB</t>
  </si>
  <si>
    <t>2x4x12</t>
  </si>
  <si>
    <t>품목</t>
  </si>
  <si>
    <t>수량</t>
  </si>
  <si>
    <t>단가</t>
  </si>
  <si>
    <t>금액</t>
  </si>
  <si>
    <t>단위</t>
  </si>
  <si>
    <t>EA</t>
  </si>
  <si>
    <t>피트</t>
  </si>
  <si>
    <t>인치</t>
  </si>
  <si>
    <t>미터</t>
  </si>
  <si>
    <t>실내가로</t>
  </si>
  <si>
    <t>실내세로</t>
  </si>
  <si>
    <t>피치</t>
  </si>
  <si>
    <t>경사각도</t>
  </si>
  <si>
    <t>빗변단위길이</t>
  </si>
  <si>
    <t>타이벡소요량</t>
  </si>
  <si>
    <t>사이딩소요량</t>
  </si>
  <si>
    <t>지붕방수포소요량</t>
  </si>
  <si>
    <t>벽체면적</t>
  </si>
  <si>
    <t>바닥면적</t>
  </si>
  <si>
    <t>평</t>
  </si>
  <si>
    <t>지붕면적</t>
  </si>
  <si>
    <t>벽채높이</t>
  </si>
  <si>
    <t>바닥세로</t>
  </si>
  <si>
    <t>바닥가로</t>
  </si>
  <si>
    <t>지붕높이</t>
  </si>
  <si>
    <t>지붕빗면</t>
  </si>
  <si>
    <t>박공면적</t>
  </si>
  <si>
    <t xml:space="preserve">타이벡 </t>
  </si>
  <si>
    <t>1.5x50 롤</t>
  </si>
  <si>
    <t>1x10 롤</t>
  </si>
  <si>
    <t>지붕방수시트</t>
  </si>
  <si>
    <t>EZ씰</t>
  </si>
  <si>
    <t>건네일/64mm 도금</t>
  </si>
  <si>
    <t>건네일/83mm 도금</t>
  </si>
  <si>
    <t>루핑못</t>
  </si>
  <si>
    <t>타이벡테이프</t>
  </si>
  <si>
    <t>조이스트행어 2x10</t>
  </si>
  <si>
    <t>BOX</t>
  </si>
  <si>
    <t>케이싱/코너트림</t>
  </si>
  <si>
    <t>창호 JADE 2030SH</t>
  </si>
  <si>
    <t>슁글본드</t>
  </si>
  <si>
    <t>처마후레싱</t>
  </si>
  <si>
    <t>행거못</t>
  </si>
  <si>
    <t>스텐레스 F30 못</t>
  </si>
  <si>
    <t>릿지벤트</t>
  </si>
  <si>
    <t>육각슁글 (진한회색 또는 검정)</t>
  </si>
  <si>
    <t>http://www.interpark.com/product/MallDisplay.do?_method=detail&amp;sc.shopNo=0000100000&amp;firpg=01&amp;sc.prdNo=3640044873&amp;sc.dispNo=016001&amp;sc.dispNo=016001</t>
  </si>
  <si>
    <t>페이샤보드 1x10</t>
  </si>
  <si>
    <t>비고</t>
  </si>
  <si>
    <t>warehouse 14x12_CutList 시트 참고</t>
  </si>
  <si>
    <t>warehouse 14x12_CutList 시트 참고, 여유분 포함</t>
  </si>
  <si>
    <t>warehouse 14x12_CutList, 테이블제작용 재료 16개 및 여유분 포함</t>
  </si>
  <si>
    <t>오웬스코닝육각슁글소요량</t>
  </si>
  <si>
    <t>단위수량</t>
  </si>
  <si>
    <t>http://itempage3.auction.co.kr/DetailView.aspx?ItemNo=A701134424&amp;frm3=V2</t>
  </si>
  <si>
    <t>http://www.11st.co.kr/product/SellerProductDetail.tmall?method=getSellerProductDetail&amp;prdNo=652819474&amp;NaPm=ct=ifm76os0|ci=48aa8fbbc06747b38bc02813c1c271375f41df38|tr=sls|sn=17703|hk=825bb2edd9927f08fade524524c340ac4824d11f</t>
  </si>
  <si>
    <t>0.6x50 롤</t>
  </si>
  <si>
    <t>시멘트사이딩 12' 7T</t>
  </si>
  <si>
    <t>시멘트사이딩게이지</t>
  </si>
  <si>
    <t>http://item2.gmarket.co.kr/Item/detailview/Item.aspx?goodscode=700621880&amp;GoodsSale=Y&amp;jaehuid=200001169&amp;NaPm=ct%3Difm7f5k8%7Cci%3D3c941001994d9cd00b3d4dfebb188fcec039534a%7Ctr%3Dslsl%7Csn%3D24%7Chk%3D0d23e1f5d56e405231b6c0f85c8a39fe13282470</t>
  </si>
  <si>
    <t>처마후레싱(알루미늄/백색) 1.2M</t>
  </si>
  <si>
    <t>처마길이</t>
  </si>
  <si>
    <t>http://csrbm.co.kr/front/php/product.php?product_no=2430&amp;main_cate_no=98&amp;display_group=1&amp;cafe_mkt=naver_ks&amp;mkt_in=Y&amp;ghost_mall_id=naver&amp;ref=naver_open&amp;NaPm=ct%3Difm86lzk%7Cci%3Dc9506b3c01ba2e6490e872a08470ece5ea85a0f1%7Ctr%3Dsls%7Csn%3D18017%7Chk%3D26cc6ca7fcf0fb7f4866aac9752f6a0218f2190e</t>
  </si>
  <si>
    <t>합판클립 (100개)</t>
  </si>
  <si>
    <t>http://buildhousing2.skyd.co.kr/shop/item.php?it_id=1423464167</t>
  </si>
  <si>
    <t>http://itempage3.auction.co.kr/DetailView.aspx?ItemNo=A757651382&amp;frm3=V2</t>
  </si>
  <si>
    <t>허리케인타이 H2.5</t>
  </si>
  <si>
    <t>좌우1세트</t>
  </si>
  <si>
    <t>http://www.gunwoo.net/?folder=shop&amp;page=view&amp;pd_code=1045</t>
  </si>
  <si>
    <t>도어 MENNIE/9라이트[화이트]화이버글라스 3068 (LH,타공1구)</t>
  </si>
  <si>
    <t>http://www.gunwoo.net/?folder=shop&amp;page=view&amp;pd_code=2092</t>
  </si>
  <si>
    <t>http://www.gunwoo.net/?folder=shop&amp;page=view&amp;pd_code=1100</t>
  </si>
  <si>
    <t>도어락1</t>
  </si>
  <si>
    <t>도어락2</t>
  </si>
  <si>
    <t>2x10x12 2&amp;BTR</t>
  </si>
  <si>
    <t>2x10x14 2&amp;BTR</t>
  </si>
  <si>
    <t>시다쉐이크</t>
  </si>
  <si>
    <t>http://daelimwood.com/shop/goods/goods_view.php?goodsno=177&amp;category=004003</t>
  </si>
  <si>
    <t>옵션2</t>
  </si>
  <si>
    <t>콘크리트블록 390x190x100</t>
  </si>
  <si>
    <t>http://gunchukjajae.com/shop/goods/goods_view.php?goodsno=65&amp;inflow=naver&amp;NaPm=ct%3Difo1jyo0%7Cci%3Dcafac7b0eb539b378b81c28c73083f1d90e42138%7Ctr%3Dsls%7Csn%3D259317%7Chk%3D0e3566d37f1b820cccac9ca414bbc7385be8cd90</t>
  </si>
  <si>
    <t>2x8x10 2&amp;BTR</t>
  </si>
  <si>
    <t>2x4x12 2&amp;BTR</t>
  </si>
  <si>
    <t>2x6x14  2&amp;BTR</t>
  </si>
  <si>
    <t>L 앙카 13x300</t>
  </si>
  <si>
    <t>OSB TG 4'x8'</t>
  </si>
  <si>
    <t>OSB 4'x8'</t>
  </si>
  <si>
    <t>2x4x12 방부목 (sill plate 용)</t>
  </si>
  <si>
    <t>옵션1</t>
  </si>
  <si>
    <t>대한우드단가</t>
  </si>
  <si>
    <t>2x4x14 2&amp;BTR (2x4x16)</t>
  </si>
  <si>
    <t>2x4x8 2&amp;BTR (2x4x16)</t>
  </si>
  <si>
    <t>가격</t>
  </si>
  <si>
    <t>2x8x20 2&amp;BTR</t>
  </si>
  <si>
    <t>2x4x16 2&amp;BTR</t>
  </si>
  <si>
    <t>2x10x16 2&amp;BTR</t>
  </si>
  <si>
    <t>육각슁글 (돌회색)</t>
  </si>
  <si>
    <t>페이샤보드 (미터)</t>
  </si>
  <si>
    <t>페이샤보드 (피트)</t>
  </si>
  <si>
    <t>건네일/65mm 도금</t>
  </si>
  <si>
    <t xml:space="preserve">합판클립 </t>
  </si>
  <si>
    <t>실내바닥면적</t>
  </si>
  <si>
    <t>Item Q'ty</t>
  </si>
  <si>
    <t>Item</t>
  </si>
  <si>
    <t>Memo</t>
  </si>
  <si>
    <t>1' 9"</t>
  </si>
  <si>
    <t>변환기</t>
  </si>
  <si>
    <t>기초깊이</t>
  </si>
  <si>
    <t>기초부피</t>
  </si>
  <si>
    <t>시멘트(포)</t>
  </si>
  <si>
    <t>모래(루베)</t>
  </si>
  <si>
    <t xml:space="preserve"> Plate</t>
  </si>
  <si>
    <t>6' 4 1/2"</t>
  </si>
  <si>
    <t>1' 6"</t>
  </si>
  <si>
    <t xml:space="preserve"> Support</t>
  </si>
  <si>
    <t>1' 3"</t>
  </si>
  <si>
    <t xml:space="preserve"> Support 2</t>
  </si>
  <si>
    <t xml:space="preserve"> Support 3</t>
  </si>
  <si>
    <t>1' 5"</t>
  </si>
  <si>
    <t xml:space="preserve"> Leg</t>
  </si>
  <si>
    <t>Price</t>
  </si>
  <si>
    <t xml:space="preserve">8' </t>
  </si>
  <si>
    <t>2x4x16</t>
  </si>
  <si>
    <t>Quantity</t>
  </si>
  <si>
    <t xml:space="preserve"> Chair Support</t>
  </si>
  <si>
    <t>4' 6"</t>
  </si>
  <si>
    <t xml:space="preserve"> Desk Support</t>
  </si>
  <si>
    <t xml:space="preserve"> Desk Support 2</t>
  </si>
  <si>
    <t xml:space="preserve"> 1' 5/8"</t>
  </si>
  <si>
    <t xml:space="preserve"> 10 1/2"</t>
  </si>
  <si>
    <t xml:space="preserve"> Full</t>
  </si>
  <si>
    <t>12'</t>
  </si>
  <si>
    <t xml:space="preserve"> Leg Support</t>
  </si>
  <si>
    <t>11' 4"</t>
  </si>
  <si>
    <t xml:space="preserve"> 2' 10 1/2"</t>
  </si>
  <si>
    <t xml:space="preserve">2x6x16  2&amp;BTR </t>
  </si>
  <si>
    <t>레미탈(포/루베)</t>
    <phoneticPr fontId="3" type="noConversion"/>
  </si>
  <si>
    <t>OSB 11.1/4x8</t>
  </si>
  <si>
    <t>타이벡 1.5*50M</t>
  </si>
  <si>
    <t>타이벡테이프 6CM*50M</t>
  </si>
  <si>
    <t>시멘트사이딩 7*209*3660</t>
  </si>
  <si>
    <t>방수쉬트/오웬스코닝 2T*1M*10M</t>
  </si>
  <si>
    <t>금동 A/L 처마후레싱(백색) 0.45*120*2000</t>
  </si>
  <si>
    <t>페이샤보드 제임스하디 1*10*12</t>
  </si>
  <si>
    <t>릿지벤트 11"x4'</t>
  </si>
  <si>
    <t>루핑못(25MM판넬용) 3KG</t>
  </si>
  <si>
    <t>행거못 38mm 3KG</t>
  </si>
  <si>
    <t>타카핀 F30 (스텐)</t>
  </si>
  <si>
    <t>창호 JADE 2030SH 로이+무격자</t>
  </si>
  <si>
    <t>대한우드</t>
    <phoneticPr fontId="3" type="noConversion"/>
  </si>
  <si>
    <t>제주종합목재</t>
    <phoneticPr fontId="3" type="noConversion"/>
  </si>
  <si>
    <t>2x8x16 2&amp;BTR</t>
    <phoneticPr fontId="3" type="noConversion"/>
  </si>
  <si>
    <t>L 앙카세트 13x300</t>
    <phoneticPr fontId="3" type="noConversion"/>
  </si>
  <si>
    <t>루베</t>
  </si>
  <si>
    <t>산방모래</t>
  </si>
  <si>
    <t>시멘트</t>
  </si>
  <si>
    <t>40kg</t>
  </si>
  <si>
    <t>모래</t>
  </si>
  <si>
    <t>서광건재</t>
  </si>
  <si>
    <t>수평몰탈</t>
  </si>
  <si>
    <t>자동수평몰탈(3mm 기준)  kg/m^2</t>
  </si>
  <si>
    <t>자동수평몰탈(5mm 기준)  kg/m^2</t>
  </si>
  <si>
    <t>프라이머 l/m^2</t>
  </si>
  <si>
    <t>에폭시</t>
  </si>
  <si>
    <t>대한우드2</t>
    <phoneticPr fontId="3" type="noConversion"/>
  </si>
  <si>
    <t>단가2</t>
    <phoneticPr fontId="3" type="noConversion"/>
  </si>
  <si>
    <t>캡스톤 9라이트[화이트]화이버글라스 3068 (RH,타공1구)</t>
    <phoneticPr fontId="3" type="noConversion"/>
  </si>
  <si>
    <t>제임스하디 트림 1*4*12</t>
    <phoneticPr fontId="3" type="noConversion"/>
  </si>
  <si>
    <t>실러 20M</t>
  </si>
  <si>
    <t>롤</t>
  </si>
  <si>
    <t xml:space="preserve"> Floor Header Joist</t>
  </si>
  <si>
    <t xml:space="preserve"> 7' 8 1/2"</t>
  </si>
  <si>
    <t xml:space="preserve"> 4' 3 5/8"</t>
  </si>
  <si>
    <t xml:space="preserve"> Gable Stud 5</t>
  </si>
  <si>
    <t xml:space="preserve"> Mud Sill Long</t>
  </si>
  <si>
    <t>13' 11 1/2"</t>
  </si>
  <si>
    <t xml:space="preserve"> Mud Sill Short</t>
  </si>
  <si>
    <t>13' 5 1/2"</t>
  </si>
  <si>
    <t xml:space="preserve"> OSB N1</t>
  </si>
  <si>
    <t>1' 6 1/4"</t>
  </si>
  <si>
    <t xml:space="preserve"> OSB N2</t>
  </si>
  <si>
    <t>7' 5 1/4"</t>
  </si>
  <si>
    <t xml:space="preserve"> OSB N3</t>
  </si>
  <si>
    <t xml:space="preserve"> OSB N4</t>
  </si>
  <si>
    <t>7' 7"</t>
  </si>
  <si>
    <t xml:space="preserve"> OSB N5</t>
  </si>
  <si>
    <t>2' 1 1/4"</t>
  </si>
  <si>
    <t xml:space="preserve"> OSB Roof 1</t>
  </si>
  <si>
    <t xml:space="preserve"> OSB Roof 2</t>
  </si>
  <si>
    <t>6' 3"</t>
  </si>
  <si>
    <t xml:space="preserve"> OSB Roof 3</t>
  </si>
  <si>
    <t xml:space="preserve"> OSB Roof 4</t>
  </si>
  <si>
    <t xml:space="preserve"> OSB Roof 5</t>
  </si>
  <si>
    <t xml:space="preserve"> OSB Roof 6</t>
  </si>
  <si>
    <t xml:space="preserve"> OSB S1</t>
  </si>
  <si>
    <t xml:space="preserve"> OSB S2</t>
  </si>
  <si>
    <t xml:space="preserve"> OSB S3</t>
  </si>
  <si>
    <t>3' 7"</t>
  </si>
  <si>
    <t xml:space="preserve"> OSB S4</t>
  </si>
  <si>
    <t xml:space="preserve"> 9 15/16"</t>
  </si>
  <si>
    <t xml:space="preserve"> OSB S5</t>
  </si>
  <si>
    <t xml:space="preserve"> OSB W1</t>
  </si>
  <si>
    <t>5' 9"</t>
  </si>
  <si>
    <t xml:space="preserve"> OSB W2</t>
  </si>
  <si>
    <t>2' 1 1/2"</t>
  </si>
  <si>
    <t xml:space="preserve"> OSB W3</t>
  </si>
  <si>
    <t>11 1/4"</t>
  </si>
  <si>
    <t xml:space="preserve"> OSB W4</t>
  </si>
  <si>
    <t>6' 6 1/2"</t>
  </si>
  <si>
    <t xml:space="preserve"> OSB W5</t>
  </si>
  <si>
    <t>3' 1"</t>
  </si>
  <si>
    <t xml:space="preserve"> OSB W6</t>
  </si>
  <si>
    <t>6' 10 1/2"</t>
  </si>
  <si>
    <t xml:space="preserve"> OSB W7</t>
  </si>
  <si>
    <t xml:space="preserve"> 2' 1 11/16"</t>
  </si>
  <si>
    <t xml:space="preserve"> 1' 5 1/8"</t>
  </si>
  <si>
    <t xml:space="preserve"> Plate Long</t>
  </si>
  <si>
    <t xml:space="preserve"> Plate Short</t>
  </si>
  <si>
    <t>14' 3"</t>
  </si>
  <si>
    <t>13' 6"</t>
  </si>
  <si>
    <t xml:space="preserve"> Roof Joist Block 1</t>
  </si>
  <si>
    <t>2' 3/4"</t>
  </si>
  <si>
    <t xml:space="preserve"> Roof Joist Block 3</t>
  </si>
  <si>
    <t xml:space="preserve"> Roof Tail Joist</t>
  </si>
  <si>
    <t>3' 7 1/2"</t>
  </si>
  <si>
    <t>14' 3 7/8"</t>
  </si>
  <si>
    <t>Qty</t>
  </si>
  <si>
    <t>5"</t>
  </si>
  <si>
    <t>8' 7 1/2"</t>
  </si>
  <si>
    <t>8' 8"</t>
  </si>
  <si>
    <t xml:space="preserve"> 1' 9 3/16"</t>
  </si>
  <si>
    <t xml:space="preserve"> 2' 7 13/16"</t>
  </si>
  <si>
    <t>3' 6 1/2"</t>
  </si>
  <si>
    <t>10 1/2"</t>
  </si>
  <si>
    <t>Feet</t>
  </si>
  <si>
    <t>3' 5"</t>
  </si>
  <si>
    <t>3' 2"</t>
  </si>
  <si>
    <t>2x4x12 방부목 (mud sill) - 4 개</t>
  </si>
  <si>
    <t>2x4x16 방부목 (mud sill) - 4 개</t>
  </si>
  <si>
    <t>배송일</t>
  </si>
  <si>
    <t>10/26</t>
  </si>
  <si>
    <t xml:space="preserve"> Door Header 1</t>
  </si>
  <si>
    <t xml:space="preserve"> Door Header 2</t>
  </si>
  <si>
    <t>6' 8 3/8"</t>
  </si>
  <si>
    <t xml:space="preserve"> Window Header 1</t>
  </si>
  <si>
    <t xml:space="preserve"> Window Header 2</t>
  </si>
  <si>
    <t>7 1/2"</t>
  </si>
  <si>
    <t>Total L</t>
  </si>
  <si>
    <t>2x4x16방</t>
  </si>
  <si>
    <t>2x4x2.54</t>
  </si>
  <si>
    <t>2x4x2.04</t>
  </si>
  <si>
    <t>2x10x16</t>
  </si>
  <si>
    <t>2x10x9.16</t>
  </si>
  <si>
    <t>2x4x9.16</t>
  </si>
  <si>
    <t>자재</t>
  </si>
  <si>
    <t>잔량</t>
  </si>
  <si>
    <t xml:space="preserve"> rafter horse base</t>
  </si>
  <si>
    <t>1' 5 3/4"</t>
  </si>
  <si>
    <t>7 1/4"</t>
  </si>
  <si>
    <t xml:space="preserve"> rafter horse top</t>
  </si>
  <si>
    <t>8"</t>
  </si>
  <si>
    <t xml:space="preserve"> saw horse header</t>
  </si>
  <si>
    <t>3'</t>
  </si>
  <si>
    <t xml:space="preserve"> saw horse leg</t>
  </si>
  <si>
    <t>2' 6"</t>
  </si>
  <si>
    <t xml:space="preserve"> saw horse support</t>
  </si>
  <si>
    <t>1' 4"</t>
  </si>
  <si>
    <t>데코타일 1.62m^2/box</t>
  </si>
  <si>
    <t>http://storefarm.naver.com/sheetmori/products/228162983?NaPm=ct%3Dih5tluw8%7Cci%3D73e02e416402c80aac3e493af9c01dc136b3a8e3%7Ctr%3Dslsl%7Csn%3D190175%7Cic%3D%7Chk%3Db10c75512a86ef2e54158d2691da809eed55edc9</t>
  </si>
  <si>
    <t xml:space="preserve"> Facia Eave</t>
  </si>
  <si>
    <t xml:space="preserve"> 14' 8 3/8"</t>
  </si>
  <si>
    <t xml:space="preserve"> Fascia Edge</t>
  </si>
  <si>
    <t>3/4"</t>
  </si>
  <si>
    <t xml:space="preserve"> 7 11/16"</t>
  </si>
  <si>
    <t>8' 10 1/8</t>
  </si>
  <si>
    <t xml:space="preserve"> Trim Corner</t>
  </si>
  <si>
    <t>8' 5 7/8"</t>
  </si>
  <si>
    <t xml:space="preserve"> Trim Door Side</t>
  </si>
  <si>
    <t>7' 7/8"</t>
  </si>
  <si>
    <t xml:space="preserve"> Trim Door Top</t>
  </si>
  <si>
    <t>3' 9"</t>
  </si>
  <si>
    <t xml:space="preserve"> Trim Window Bottom</t>
  </si>
  <si>
    <t xml:space="preserve"> Trim Window Side</t>
  </si>
  <si>
    <t xml:space="preserve"> 3' 3 1/2"</t>
  </si>
  <si>
    <t xml:space="preserve"> Trim Window Top</t>
  </si>
  <si>
    <t>2' 7"</t>
  </si>
  <si>
    <t xml:space="preserve"> 3 1/2"</t>
  </si>
  <si>
    <t>유리</t>
  </si>
  <si>
    <t>기타</t>
  </si>
  <si>
    <t>프라이머</t>
  </si>
  <si>
    <t>제이드 9라이트[화이트] 3068 (RH,타공1구)</t>
  </si>
  <si>
    <t>추가</t>
  </si>
  <si>
    <t>잔액</t>
  </si>
  <si>
    <t>선불금</t>
  </si>
  <si>
    <t xml:space="preserve"> Self Leg</t>
  </si>
  <si>
    <t xml:space="preserve"> Shelf Plate</t>
  </si>
  <si>
    <t xml:space="preserve"> Shelf Support 1</t>
  </si>
  <si>
    <t xml:space="preserve"> Shelf Support 2</t>
  </si>
  <si>
    <t xml:space="preserve"> Shelf Support 3</t>
  </si>
  <si>
    <t xml:space="preserve"> Table Chair Support</t>
  </si>
  <si>
    <t xml:space="preserve"> Table Desk Support 1</t>
  </si>
  <si>
    <t xml:space="preserve"> Table Full</t>
  </si>
  <si>
    <t xml:space="preserve"> Table Leg Support</t>
  </si>
  <si>
    <t xml:space="preserve"> WB Bottom 1</t>
  </si>
  <si>
    <t xml:space="preserve"> WB Bottom 2</t>
  </si>
  <si>
    <t xml:space="preserve"> 3' 3 1/8"</t>
  </si>
  <si>
    <t xml:space="preserve"> WB Leg</t>
  </si>
  <si>
    <t>2' 11 9/16"</t>
  </si>
  <si>
    <t xml:space="preserve"> WB Leg Support 1</t>
  </si>
  <si>
    <t xml:space="preserve"> WB Leg Support 2</t>
  </si>
  <si>
    <t xml:space="preserve"> 11' 1/8"</t>
  </si>
  <si>
    <t xml:space="preserve"> WB Table Support 1</t>
  </si>
  <si>
    <t>11' 6"</t>
  </si>
  <si>
    <t xml:space="preserve"> WB Table Support 2</t>
  </si>
  <si>
    <t xml:space="preserve"> WB Top 1</t>
  </si>
  <si>
    <t xml:space="preserve"> WB Top 2</t>
  </si>
  <si>
    <t>3' 6"</t>
  </si>
  <si>
    <t>1' 3"</t>
    <phoneticPr fontId="3" type="noConversion"/>
  </si>
  <si>
    <t>1' 6"</t>
    <phoneticPr fontId="3" type="noConversion"/>
  </si>
  <si>
    <t>Feet</t>
    <phoneticPr fontId="3" type="noConversion"/>
  </si>
  <si>
    <t>12 Feet</t>
    <phoneticPr fontId="3" type="noConversion"/>
  </si>
  <si>
    <t xml:space="preserve"> 1' 4 3/8"</t>
    <phoneticPr fontId="3" type="noConversion"/>
  </si>
  <si>
    <t xml:space="preserve"> Table Desk Support 2 (45 dgr)</t>
    <phoneticPr fontId="3" type="noConversion"/>
  </si>
  <si>
    <t xml:space="preserve"> 2' 10 1/4"</t>
    <phoneticPr fontId="3" type="noConversion"/>
  </si>
  <si>
    <t xml:space="preserve"> Table Leg (60.4 dgr)</t>
    <phoneticPr fontId="3" type="noConversion"/>
  </si>
  <si>
    <t>도어락(은장)</t>
  </si>
  <si>
    <t>데드볼트(은장)</t>
  </si>
  <si>
    <t>16 Feet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</si>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</sst>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Font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2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41" fontId="0" fillId="0" borderId="0" xfId="0" applyNumberFormat="1"/>
    <xf numFmtId="41" fontId="2" fillId="0" borderId="0" xfId="0" applyNumberFormat="1" applyFont="1"/>
    <xf numFmtId="0" fontId="2" fillId="0" borderId="0" xfId="0" applyFont="1" applyFill="1" applyBorder="1"/>
    <xf numFmtId="41" fontId="2" fillId="0" borderId="0" xfId="1" applyFont="1" applyFill="1" applyBorder="1"/>
    <xf numFmtId="0" fontId="2" fillId="0" borderId="0" xfId="0" applyFont="1" applyFill="1" applyBorder="1" applyAlignment="1">
      <alignment horizontal="left"/>
    </xf>
    <xf numFmtId="41" fontId="2" fillId="0" borderId="0" xfId="0" applyNumberFormat="1" applyFont="1" applyFill="1" applyBorder="1"/>
    <xf numFmtId="43" fontId="2" fillId="0" borderId="0" xfId="1" applyNumberFormat="1" applyFont="1" applyFill="1" applyBorder="1"/>
    <xf numFmtId="41" fontId="2" fillId="0" borderId="0" xfId="1" applyFont="1"/>
    <xf numFmtId="41" fontId="4" fillId="0" borderId="0" xfId="1" applyFont="1" applyFill="1" applyBorder="1"/>
    <xf numFmtId="0" fontId="4" fillId="0" borderId="0" xfId="0" applyFont="1"/>
    <xf numFmtId="16" fontId="2" fillId="0" borderId="0" xfId="0" quotePrefix="1" applyNumberFormat="1" applyFont="1" applyFill="1" applyBorder="1"/>
    <xf numFmtId="0" fontId="5" fillId="0" borderId="0" xfId="0" applyFont="1"/>
    <xf numFmtId="2" fontId="5" fillId="0" borderId="0" xfId="0" applyNumberFormat="1" applyFont="1"/>
    <xf numFmtId="165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42" sqref="A42"/>
    </sheetView>
  </sheetViews>
  <sheetFormatPr baseColWidth="10" defaultRowHeight="16" x14ac:dyDescent="0.2"/>
  <cols>
    <col min="1" max="1" width="57.1640625" customWidth="1"/>
    <col min="4" max="4" width="13.1640625" bestFit="1" customWidth="1"/>
    <col min="9" max="9" width="80" customWidth="1"/>
  </cols>
  <sheetData>
    <row r="1" spans="1:9" x14ac:dyDescent="0.2">
      <c r="A1" t="s">
        <v>48</v>
      </c>
      <c r="B1" t="s">
        <v>52</v>
      </c>
      <c r="C1" t="s">
        <v>49</v>
      </c>
      <c r="D1" t="s">
        <v>137</v>
      </c>
      <c r="E1" t="s">
        <v>51</v>
      </c>
      <c r="F1" t="s">
        <v>50</v>
      </c>
      <c r="G1" t="s">
        <v>136</v>
      </c>
      <c r="H1" t="s">
        <v>126</v>
      </c>
      <c r="I1" t="s">
        <v>96</v>
      </c>
    </row>
    <row r="2" spans="1:9" x14ac:dyDescent="0.2">
      <c r="A2" t="s">
        <v>133</v>
      </c>
      <c r="B2" t="s">
        <v>53</v>
      </c>
      <c r="C2">
        <v>6</v>
      </c>
      <c r="D2">
        <v>26000</v>
      </c>
      <c r="E2">
        <f>C2*D2</f>
        <v>156000</v>
      </c>
      <c r="F2">
        <v>28500</v>
      </c>
      <c r="G2">
        <f t="shared" ref="G2:G10" si="0">F2*C2</f>
        <v>171000</v>
      </c>
      <c r="H2">
        <f>G2</f>
        <v>171000</v>
      </c>
      <c r="I2" t="s">
        <v>97</v>
      </c>
    </row>
    <row r="3" spans="1:9" x14ac:dyDescent="0.2">
      <c r="A3" t="s">
        <v>134</v>
      </c>
      <c r="B3" t="s">
        <v>53</v>
      </c>
      <c r="C3">
        <v>34</v>
      </c>
      <c r="D3">
        <v>13000</v>
      </c>
      <c r="E3">
        <f t="shared" ref="E3:E37" si="1">C3*D3</f>
        <v>442000</v>
      </c>
      <c r="F3">
        <v>17800</v>
      </c>
      <c r="G3">
        <f t="shared" si="0"/>
        <v>605200</v>
      </c>
      <c r="H3">
        <f t="shared" ref="H3:H33" si="2">G3</f>
        <v>605200</v>
      </c>
      <c r="I3" t="s">
        <v>98</v>
      </c>
    </row>
    <row r="4" spans="1:9" x14ac:dyDescent="0.2">
      <c r="A4" t="s">
        <v>129</v>
      </c>
      <c r="B4" t="s">
        <v>53</v>
      </c>
      <c r="C4">
        <v>14</v>
      </c>
      <c r="D4">
        <v>10500</v>
      </c>
      <c r="E4">
        <f t="shared" si="1"/>
        <v>147000</v>
      </c>
      <c r="F4">
        <v>9000</v>
      </c>
      <c r="G4">
        <f t="shared" si="0"/>
        <v>126000</v>
      </c>
      <c r="H4">
        <f t="shared" si="2"/>
        <v>126000</v>
      </c>
      <c r="I4" t="s">
        <v>97</v>
      </c>
    </row>
    <row r="5" spans="1:9" x14ac:dyDescent="0.2">
      <c r="A5" t="s">
        <v>138</v>
      </c>
      <c r="B5" t="s">
        <v>53</v>
      </c>
      <c r="C5">
        <v>11</v>
      </c>
      <c r="D5">
        <v>8000</v>
      </c>
      <c r="E5">
        <f t="shared" si="1"/>
        <v>88000</v>
      </c>
      <c r="F5">
        <v>5500</v>
      </c>
      <c r="G5">
        <f t="shared" si="0"/>
        <v>60500</v>
      </c>
      <c r="H5">
        <f t="shared" si="2"/>
        <v>60500</v>
      </c>
      <c r="I5" t="s">
        <v>97</v>
      </c>
    </row>
    <row r="6" spans="1:9" x14ac:dyDescent="0.2">
      <c r="A6" t="s">
        <v>130</v>
      </c>
      <c r="B6" t="s">
        <v>53</v>
      </c>
      <c r="C6">
        <f>17+16</f>
        <v>33</v>
      </c>
      <c r="D6">
        <v>6500</v>
      </c>
      <c r="E6">
        <f t="shared" si="1"/>
        <v>214500</v>
      </c>
      <c r="F6">
        <v>4500</v>
      </c>
      <c r="G6">
        <f t="shared" si="0"/>
        <v>148500</v>
      </c>
      <c r="H6">
        <f t="shared" si="2"/>
        <v>148500</v>
      </c>
      <c r="I6" t="s">
        <v>99</v>
      </c>
    </row>
    <row r="7" spans="1:9" x14ac:dyDescent="0.2">
      <c r="A7" t="s">
        <v>139</v>
      </c>
      <c r="B7" t="s">
        <v>53</v>
      </c>
      <c r="C7">
        <v>55</v>
      </c>
      <c r="D7">
        <v>4000</v>
      </c>
      <c r="E7">
        <f t="shared" si="1"/>
        <v>220000</v>
      </c>
      <c r="F7">
        <v>3040</v>
      </c>
      <c r="G7">
        <f t="shared" si="0"/>
        <v>167200</v>
      </c>
      <c r="H7">
        <f t="shared" si="2"/>
        <v>167200</v>
      </c>
      <c r="I7" t="s">
        <v>97</v>
      </c>
    </row>
    <row r="8" spans="1:9" x14ac:dyDescent="0.2">
      <c r="A8" t="s">
        <v>131</v>
      </c>
      <c r="B8" t="s">
        <v>53</v>
      </c>
      <c r="C8">
        <v>9</v>
      </c>
      <c r="E8">
        <f t="shared" si="1"/>
        <v>0</v>
      </c>
      <c r="F8">
        <v>8000</v>
      </c>
      <c r="G8">
        <f t="shared" si="0"/>
        <v>72000</v>
      </c>
      <c r="H8">
        <f t="shared" si="2"/>
        <v>72000</v>
      </c>
      <c r="I8" t="s">
        <v>97</v>
      </c>
    </row>
    <row r="9" spans="1:9" x14ac:dyDescent="0.2">
      <c r="A9" t="s">
        <v>122</v>
      </c>
      <c r="B9" t="s">
        <v>53</v>
      </c>
      <c r="C9">
        <v>17</v>
      </c>
      <c r="E9">
        <f t="shared" si="1"/>
        <v>0</v>
      </c>
      <c r="F9">
        <v>14520</v>
      </c>
      <c r="G9">
        <f t="shared" si="0"/>
        <v>246840</v>
      </c>
      <c r="H9">
        <f t="shared" si="2"/>
        <v>246840</v>
      </c>
      <c r="I9" t="s">
        <v>97</v>
      </c>
    </row>
    <row r="10" spans="1:9" x14ac:dyDescent="0.2">
      <c r="A10" t="s">
        <v>123</v>
      </c>
      <c r="B10" t="s">
        <v>53</v>
      </c>
      <c r="C10">
        <v>4</v>
      </c>
      <c r="E10">
        <f t="shared" si="1"/>
        <v>0</v>
      </c>
      <c r="F10">
        <v>17000</v>
      </c>
      <c r="G10">
        <f t="shared" si="0"/>
        <v>68000</v>
      </c>
      <c r="H10">
        <f t="shared" si="2"/>
        <v>68000</v>
      </c>
      <c r="I10" t="s">
        <v>97</v>
      </c>
    </row>
    <row r="11" spans="1:9" x14ac:dyDescent="0.2">
      <c r="A11" t="s">
        <v>135</v>
      </c>
      <c r="B11" t="s">
        <v>53</v>
      </c>
      <c r="C11">
        <v>2</v>
      </c>
      <c r="E11">
        <f t="shared" si="1"/>
        <v>0</v>
      </c>
    </row>
    <row r="12" spans="1:9" x14ac:dyDescent="0.2">
      <c r="A12" t="s">
        <v>75</v>
      </c>
      <c r="B12" t="s">
        <v>76</v>
      </c>
      <c r="C12">
        <v>2</v>
      </c>
      <c r="E12">
        <f t="shared" si="1"/>
        <v>0</v>
      </c>
      <c r="F12">
        <v>130000</v>
      </c>
      <c r="G12">
        <f t="shared" ref="G12:G18" si="3">F12*C12</f>
        <v>260000</v>
      </c>
      <c r="H12">
        <f t="shared" si="2"/>
        <v>260000</v>
      </c>
    </row>
    <row r="13" spans="1:9" x14ac:dyDescent="0.2">
      <c r="A13" t="s">
        <v>83</v>
      </c>
      <c r="B13" t="s">
        <v>104</v>
      </c>
      <c r="C13">
        <v>1</v>
      </c>
      <c r="E13">
        <f t="shared" si="1"/>
        <v>0</v>
      </c>
      <c r="F13">
        <v>50000</v>
      </c>
      <c r="G13">
        <f t="shared" si="3"/>
        <v>50000</v>
      </c>
      <c r="H13">
        <f t="shared" si="2"/>
        <v>50000</v>
      </c>
    </row>
    <row r="14" spans="1:9" x14ac:dyDescent="0.2">
      <c r="A14" t="s">
        <v>105</v>
      </c>
      <c r="B14" t="s">
        <v>53</v>
      </c>
      <c r="C14">
        <v>80</v>
      </c>
      <c r="E14">
        <f t="shared" si="1"/>
        <v>0</v>
      </c>
      <c r="F14">
        <v>4000</v>
      </c>
      <c r="G14">
        <f t="shared" si="3"/>
        <v>320000</v>
      </c>
      <c r="H14">
        <f t="shared" si="2"/>
        <v>320000</v>
      </c>
    </row>
    <row r="15" spans="1:9" x14ac:dyDescent="0.2">
      <c r="A15" t="s">
        <v>78</v>
      </c>
      <c r="B15" t="s">
        <v>77</v>
      </c>
      <c r="C15">
        <v>3</v>
      </c>
      <c r="E15">
        <f t="shared" si="1"/>
        <v>0</v>
      </c>
      <c r="F15">
        <v>22000</v>
      </c>
      <c r="G15">
        <f t="shared" si="3"/>
        <v>66000</v>
      </c>
      <c r="H15">
        <f t="shared" si="2"/>
        <v>66000</v>
      </c>
    </row>
    <row r="16" spans="1:9" x14ac:dyDescent="0.2">
      <c r="A16" t="s">
        <v>108</v>
      </c>
      <c r="B16" t="s">
        <v>53</v>
      </c>
      <c r="C16">
        <v>16</v>
      </c>
      <c r="E16">
        <f t="shared" si="1"/>
        <v>0</v>
      </c>
      <c r="F16">
        <v>3800</v>
      </c>
      <c r="G16">
        <f t="shared" si="3"/>
        <v>60800</v>
      </c>
      <c r="H16">
        <f t="shared" si="2"/>
        <v>60800</v>
      </c>
      <c r="I16" t="s">
        <v>110</v>
      </c>
    </row>
    <row r="17" spans="1:9" x14ac:dyDescent="0.2">
      <c r="A17" t="s">
        <v>93</v>
      </c>
      <c r="B17" t="s">
        <v>85</v>
      </c>
      <c r="C17">
        <v>8</v>
      </c>
      <c r="E17">
        <f t="shared" si="1"/>
        <v>0</v>
      </c>
      <c r="F17">
        <f>28970+8000</f>
        <v>36970</v>
      </c>
      <c r="G17">
        <f t="shared" si="3"/>
        <v>295760</v>
      </c>
      <c r="H17">
        <f t="shared" si="2"/>
        <v>295760</v>
      </c>
      <c r="I17" t="s">
        <v>102</v>
      </c>
    </row>
    <row r="18" spans="1:9" x14ac:dyDescent="0.2">
      <c r="A18" t="s">
        <v>88</v>
      </c>
      <c r="B18" t="s">
        <v>53</v>
      </c>
      <c r="C18">
        <v>2</v>
      </c>
      <c r="E18">
        <f t="shared" si="1"/>
        <v>0</v>
      </c>
      <c r="F18">
        <v>5800</v>
      </c>
      <c r="G18">
        <f t="shared" si="3"/>
        <v>11600</v>
      </c>
      <c r="H18">
        <f t="shared" si="2"/>
        <v>11600</v>
      </c>
      <c r="I18" t="s">
        <v>103</v>
      </c>
    </row>
    <row r="19" spans="1:9" x14ac:dyDescent="0.2">
      <c r="A19" t="s">
        <v>124</v>
      </c>
      <c r="B19" t="s">
        <v>85</v>
      </c>
      <c r="C19">
        <v>13</v>
      </c>
      <c r="E19">
        <f t="shared" si="1"/>
        <v>0</v>
      </c>
      <c r="F19">
        <v>50000</v>
      </c>
      <c r="H19">
        <f>C19*F19</f>
        <v>650000</v>
      </c>
      <c r="I19" t="s">
        <v>125</v>
      </c>
    </row>
    <row r="20" spans="1:9" x14ac:dyDescent="0.2">
      <c r="A20" t="s">
        <v>95</v>
      </c>
      <c r="B20" t="s">
        <v>53</v>
      </c>
      <c r="C20">
        <v>6</v>
      </c>
      <c r="E20">
        <f t="shared" si="1"/>
        <v>0</v>
      </c>
      <c r="F20">
        <v>4000</v>
      </c>
      <c r="G20">
        <f t="shared" ref="G20:G33" si="4">F20*C20</f>
        <v>24000</v>
      </c>
      <c r="H20">
        <f t="shared" si="2"/>
        <v>24000</v>
      </c>
    </row>
    <row r="21" spans="1:9" x14ac:dyDescent="0.2">
      <c r="A21" t="s">
        <v>92</v>
      </c>
      <c r="B21" t="s">
        <v>53</v>
      </c>
      <c r="C21">
        <v>2</v>
      </c>
      <c r="E21">
        <f t="shared" si="1"/>
        <v>0</v>
      </c>
      <c r="F21">
        <v>18000</v>
      </c>
      <c r="G21">
        <f t="shared" si="4"/>
        <v>36000</v>
      </c>
      <c r="H21">
        <f t="shared" si="2"/>
        <v>36000</v>
      </c>
    </row>
    <row r="22" spans="1:9" x14ac:dyDescent="0.2">
      <c r="A22" s="2" t="s">
        <v>80</v>
      </c>
      <c r="B22" t="s">
        <v>85</v>
      </c>
      <c r="C22">
        <v>1</v>
      </c>
      <c r="E22">
        <f t="shared" si="1"/>
        <v>0</v>
      </c>
      <c r="F22">
        <v>28000</v>
      </c>
      <c r="G22">
        <f t="shared" si="4"/>
        <v>28000</v>
      </c>
      <c r="H22">
        <f t="shared" si="2"/>
        <v>28000</v>
      </c>
    </row>
    <row r="23" spans="1:9" x14ac:dyDescent="0.2">
      <c r="A23" s="2" t="s">
        <v>81</v>
      </c>
      <c r="B23" t="s">
        <v>85</v>
      </c>
      <c r="C23">
        <v>1</v>
      </c>
      <c r="E23">
        <f t="shared" si="1"/>
        <v>0</v>
      </c>
      <c r="F23">
        <v>38000</v>
      </c>
      <c r="G23">
        <f t="shared" si="4"/>
        <v>38000</v>
      </c>
      <c r="H23">
        <f t="shared" si="2"/>
        <v>38000</v>
      </c>
    </row>
    <row r="24" spans="1:9" x14ac:dyDescent="0.2">
      <c r="A24" t="s">
        <v>82</v>
      </c>
      <c r="B24" t="s">
        <v>85</v>
      </c>
      <c r="C24">
        <v>1</v>
      </c>
      <c r="E24">
        <f t="shared" si="1"/>
        <v>0</v>
      </c>
      <c r="F24">
        <v>13000</v>
      </c>
      <c r="G24">
        <f t="shared" si="4"/>
        <v>13000</v>
      </c>
      <c r="H24">
        <f t="shared" si="2"/>
        <v>13000</v>
      </c>
    </row>
    <row r="25" spans="1:9" x14ac:dyDescent="0.2">
      <c r="A25" t="s">
        <v>90</v>
      </c>
      <c r="B25" t="s">
        <v>85</v>
      </c>
      <c r="C25">
        <v>1</v>
      </c>
      <c r="E25">
        <f t="shared" si="1"/>
        <v>0</v>
      </c>
      <c r="G25">
        <f t="shared" si="4"/>
        <v>0</v>
      </c>
      <c r="H25">
        <f t="shared" si="2"/>
        <v>0</v>
      </c>
    </row>
    <row r="26" spans="1:9" x14ac:dyDescent="0.2">
      <c r="A26" t="s">
        <v>91</v>
      </c>
      <c r="B26" t="s">
        <v>85</v>
      </c>
      <c r="C26">
        <v>1</v>
      </c>
      <c r="E26">
        <f t="shared" si="1"/>
        <v>0</v>
      </c>
      <c r="F26">
        <v>25000</v>
      </c>
      <c r="G26">
        <f t="shared" si="4"/>
        <v>25000</v>
      </c>
      <c r="H26">
        <f t="shared" si="2"/>
        <v>25000</v>
      </c>
    </row>
    <row r="27" spans="1:9" x14ac:dyDescent="0.2">
      <c r="A27" t="s">
        <v>84</v>
      </c>
      <c r="B27" t="s">
        <v>53</v>
      </c>
      <c r="C27">
        <v>20</v>
      </c>
      <c r="E27">
        <f t="shared" si="1"/>
        <v>0</v>
      </c>
      <c r="F27">
        <v>1040</v>
      </c>
      <c r="G27">
        <f t="shared" si="4"/>
        <v>20800</v>
      </c>
      <c r="H27">
        <f t="shared" si="2"/>
        <v>20800</v>
      </c>
      <c r="I27" t="s">
        <v>113</v>
      </c>
    </row>
    <row r="28" spans="1:9" x14ac:dyDescent="0.2">
      <c r="A28" t="s">
        <v>114</v>
      </c>
      <c r="B28" t="s">
        <v>115</v>
      </c>
      <c r="C28">
        <v>5</v>
      </c>
      <c r="E28">
        <f t="shared" si="1"/>
        <v>0</v>
      </c>
      <c r="F28">
        <v>700</v>
      </c>
      <c r="G28">
        <f t="shared" si="4"/>
        <v>3500</v>
      </c>
      <c r="H28">
        <f t="shared" si="2"/>
        <v>3500</v>
      </c>
    </row>
    <row r="29" spans="1:9" x14ac:dyDescent="0.2">
      <c r="A29" t="s">
        <v>111</v>
      </c>
      <c r="B29" t="s">
        <v>85</v>
      </c>
      <c r="C29">
        <v>1</v>
      </c>
      <c r="E29">
        <f t="shared" si="1"/>
        <v>0</v>
      </c>
      <c r="F29">
        <v>10000</v>
      </c>
      <c r="G29">
        <f t="shared" si="4"/>
        <v>10000</v>
      </c>
      <c r="H29">
        <f t="shared" si="2"/>
        <v>10000</v>
      </c>
    </row>
    <row r="30" spans="1:9" x14ac:dyDescent="0.2">
      <c r="A30" t="s">
        <v>79</v>
      </c>
      <c r="B30" t="s">
        <v>53</v>
      </c>
      <c r="C30">
        <v>1</v>
      </c>
      <c r="E30">
        <f t="shared" si="1"/>
        <v>0</v>
      </c>
      <c r="F30">
        <v>21000</v>
      </c>
      <c r="G30">
        <f t="shared" si="4"/>
        <v>21000</v>
      </c>
      <c r="H30">
        <f t="shared" si="2"/>
        <v>21000</v>
      </c>
    </row>
    <row r="31" spans="1:9" x14ac:dyDescent="0.2">
      <c r="A31" t="s">
        <v>86</v>
      </c>
      <c r="E31">
        <f t="shared" si="1"/>
        <v>0</v>
      </c>
      <c r="G31">
        <f t="shared" si="4"/>
        <v>0</v>
      </c>
      <c r="H31">
        <f t="shared" si="2"/>
        <v>0</v>
      </c>
    </row>
    <row r="32" spans="1:9" x14ac:dyDescent="0.2">
      <c r="A32" t="s">
        <v>87</v>
      </c>
      <c r="B32" t="s">
        <v>53</v>
      </c>
      <c r="C32">
        <v>2</v>
      </c>
      <c r="E32">
        <f t="shared" si="1"/>
        <v>0</v>
      </c>
      <c r="F32">
        <v>130400</v>
      </c>
      <c r="G32">
        <f t="shared" si="4"/>
        <v>260800</v>
      </c>
      <c r="H32">
        <f t="shared" si="2"/>
        <v>260800</v>
      </c>
      <c r="I32" t="s">
        <v>116</v>
      </c>
    </row>
    <row r="33" spans="1:9" x14ac:dyDescent="0.2">
      <c r="A33" t="s">
        <v>117</v>
      </c>
      <c r="B33" t="s">
        <v>53</v>
      </c>
      <c r="C33">
        <v>1</v>
      </c>
      <c r="E33">
        <f t="shared" si="1"/>
        <v>0</v>
      </c>
      <c r="F33">
        <v>390000</v>
      </c>
      <c r="G33">
        <f t="shared" si="4"/>
        <v>390000</v>
      </c>
      <c r="H33">
        <f t="shared" si="2"/>
        <v>390000</v>
      </c>
      <c r="I33" t="s">
        <v>118</v>
      </c>
    </row>
    <row r="34" spans="1:9" x14ac:dyDescent="0.2">
      <c r="A34" t="s">
        <v>120</v>
      </c>
      <c r="B34" t="s">
        <v>53</v>
      </c>
      <c r="C34">
        <v>1</v>
      </c>
      <c r="E34">
        <f t="shared" si="1"/>
        <v>0</v>
      </c>
      <c r="F34">
        <v>159630</v>
      </c>
      <c r="H34">
        <f>C34*F34</f>
        <v>159630</v>
      </c>
      <c r="I34" t="s">
        <v>94</v>
      </c>
    </row>
    <row r="35" spans="1:9" x14ac:dyDescent="0.2">
      <c r="A35" t="s">
        <v>121</v>
      </c>
      <c r="B35" t="s">
        <v>53</v>
      </c>
      <c r="C35">
        <v>1</v>
      </c>
      <c r="E35">
        <f t="shared" si="1"/>
        <v>0</v>
      </c>
      <c r="F35">
        <v>22000</v>
      </c>
      <c r="G35">
        <f>F35*C35</f>
        <v>22000</v>
      </c>
      <c r="I35" t="s">
        <v>119</v>
      </c>
    </row>
    <row r="36" spans="1:9" x14ac:dyDescent="0.2">
      <c r="A36" t="s">
        <v>132</v>
      </c>
      <c r="B36" t="s">
        <v>53</v>
      </c>
      <c r="C36">
        <v>6</v>
      </c>
      <c r="E36">
        <f t="shared" si="1"/>
        <v>0</v>
      </c>
      <c r="F36">
        <v>1200</v>
      </c>
      <c r="G36">
        <f>F36*C36</f>
        <v>7200</v>
      </c>
      <c r="H36">
        <f>G36</f>
        <v>7200</v>
      </c>
    </row>
    <row r="37" spans="1:9" x14ac:dyDescent="0.2">
      <c r="A37" t="s">
        <v>127</v>
      </c>
      <c r="B37" t="s">
        <v>53</v>
      </c>
      <c r="C37">
        <v>80</v>
      </c>
      <c r="E37">
        <f t="shared" si="1"/>
        <v>0</v>
      </c>
      <c r="F37">
        <v>1100</v>
      </c>
      <c r="G37">
        <f>F37*C37</f>
        <v>88000</v>
      </c>
      <c r="H37">
        <f>G37</f>
        <v>88000</v>
      </c>
      <c r="I37" t="s">
        <v>128</v>
      </c>
    </row>
    <row r="38" spans="1:9" x14ac:dyDescent="0.2">
      <c r="G38">
        <f>SUM(G2:G37)</f>
        <v>3716700</v>
      </c>
      <c r="H38">
        <f>SUM(H2:H37)</f>
        <v>4504330</v>
      </c>
    </row>
    <row r="39" spans="1:9" hidden="1" x14ac:dyDescent="0.2"/>
    <row r="40" spans="1:9" hidden="1" x14ac:dyDescent="0.2">
      <c r="A40" t="s">
        <v>106</v>
      </c>
      <c r="B40" t="s">
        <v>53</v>
      </c>
      <c r="C40">
        <v>1</v>
      </c>
      <c r="F40">
        <v>34120</v>
      </c>
      <c r="G40">
        <f>F40*C40</f>
        <v>34120</v>
      </c>
      <c r="I40" t="s">
        <v>107</v>
      </c>
    </row>
    <row r="41" spans="1:9" hidden="1" x14ac:dyDescent="0.2">
      <c r="I41" t="s">
        <v>112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9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H45" sqref="H45"/>
    </sheetView>
  </sheetViews>
  <sheetFormatPr baseColWidth="10" defaultRowHeight="16" x14ac:dyDescent="0.2"/>
  <cols>
    <col min="1" max="1" width="55.1640625" style="8" bestFit="1" customWidth="1"/>
    <col min="2" max="2" width="9.1640625" style="8" bestFit="1" customWidth="1"/>
    <col min="3" max="3" width="10.83203125" style="8"/>
    <col min="4" max="6" width="10.83203125" style="8" customWidth="1"/>
    <col min="7" max="8" width="12.6640625" style="8" customWidth="1"/>
    <col min="9" max="9" width="13.1640625" style="8" bestFit="1" customWidth="1"/>
    <col min="10" max="16384" width="10.83203125" style="8"/>
  </cols>
  <sheetData>
    <row r="1" spans="1:15" x14ac:dyDescent="0.2">
      <c r="A1" s="11"/>
      <c r="B1" s="11"/>
      <c r="C1" s="11"/>
      <c r="D1" s="11"/>
      <c r="G1" s="11" t="s">
        <v>197</v>
      </c>
      <c r="H1" s="11" t="s">
        <v>212</v>
      </c>
      <c r="I1" s="8" t="s">
        <v>198</v>
      </c>
      <c r="J1" s="8" t="s">
        <v>202</v>
      </c>
      <c r="K1" s="8" t="s">
        <v>206</v>
      </c>
      <c r="L1" s="8" t="s">
        <v>336</v>
      </c>
      <c r="M1" s="8" t="s">
        <v>339</v>
      </c>
      <c r="O1" s="8" t="s">
        <v>376</v>
      </c>
    </row>
    <row r="2" spans="1:15" x14ac:dyDescent="0.2">
      <c r="A2" s="11" t="s">
        <v>48</v>
      </c>
      <c r="B2" s="11" t="s">
        <v>287</v>
      </c>
      <c r="C2" s="11" t="s">
        <v>52</v>
      </c>
      <c r="D2" s="11" t="s">
        <v>49</v>
      </c>
      <c r="E2" s="11" t="s">
        <v>50</v>
      </c>
      <c r="F2" s="11" t="s">
        <v>213</v>
      </c>
      <c r="G2" s="11" t="s">
        <v>140</v>
      </c>
      <c r="H2" s="11" t="s">
        <v>140</v>
      </c>
    </row>
    <row r="3" spans="1:15" x14ac:dyDescent="0.2">
      <c r="A3" s="11" t="s">
        <v>185</v>
      </c>
      <c r="B3" s="19" t="s">
        <v>288</v>
      </c>
      <c r="C3" s="11" t="s">
        <v>53</v>
      </c>
      <c r="D3" s="14">
        <v>35</v>
      </c>
      <c r="E3" s="12">
        <v>13000</v>
      </c>
      <c r="F3" s="12">
        <v>12500</v>
      </c>
      <c r="G3" s="12">
        <f t="shared" ref="G3:G32" si="0">D3*E3</f>
        <v>455000</v>
      </c>
      <c r="H3" s="12">
        <f>D3*F3</f>
        <v>437500</v>
      </c>
      <c r="M3" s="8">
        <v>5</v>
      </c>
      <c r="N3" s="10">
        <f>14000*5</f>
        <v>70000</v>
      </c>
      <c r="O3" s="10">
        <f>N3+H3</f>
        <v>507500</v>
      </c>
    </row>
    <row r="4" spans="1:15" x14ac:dyDescent="0.2">
      <c r="A4" s="11" t="s">
        <v>130</v>
      </c>
      <c r="B4" s="19" t="s">
        <v>288</v>
      </c>
      <c r="C4" s="11" t="s">
        <v>53</v>
      </c>
      <c r="D4" s="11">
        <v>19</v>
      </c>
      <c r="E4" s="12">
        <v>6500</v>
      </c>
      <c r="F4" s="12">
        <v>5800</v>
      </c>
      <c r="G4" s="12">
        <f t="shared" si="0"/>
        <v>123500</v>
      </c>
      <c r="H4" s="12">
        <f t="shared" ref="H4:H39" si="1">D4*F4</f>
        <v>110200</v>
      </c>
      <c r="M4" s="8">
        <v>16</v>
      </c>
      <c r="N4" s="10">
        <f>M4*E4</f>
        <v>104000</v>
      </c>
      <c r="O4" s="10">
        <f>N4+H4</f>
        <v>214200</v>
      </c>
    </row>
    <row r="5" spans="1:15" x14ac:dyDescent="0.2">
      <c r="A5" s="11" t="s">
        <v>130</v>
      </c>
      <c r="B5" s="19"/>
      <c r="C5" s="11" t="s">
        <v>53</v>
      </c>
      <c r="D5" s="11">
        <v>4</v>
      </c>
      <c r="E5" s="12">
        <v>7000</v>
      </c>
      <c r="F5" s="12"/>
      <c r="G5" s="12"/>
      <c r="H5" s="12">
        <f t="shared" si="1"/>
        <v>0</v>
      </c>
      <c r="I5" s="10">
        <f>D5*E5</f>
        <v>28000</v>
      </c>
    </row>
    <row r="6" spans="1:15" s="18" customFormat="1" x14ac:dyDescent="0.2">
      <c r="A6" s="11" t="s">
        <v>285</v>
      </c>
      <c r="B6" s="19" t="s">
        <v>288</v>
      </c>
      <c r="C6" s="11" t="s">
        <v>53</v>
      </c>
      <c r="D6" s="11">
        <v>10</v>
      </c>
      <c r="E6" s="17">
        <v>7600</v>
      </c>
      <c r="F6" s="17">
        <v>7600</v>
      </c>
      <c r="G6" s="17">
        <f>D6*E6</f>
        <v>76000</v>
      </c>
      <c r="H6" s="17">
        <f t="shared" si="1"/>
        <v>76000</v>
      </c>
    </row>
    <row r="7" spans="1:15" s="18" customFormat="1" x14ac:dyDescent="0.2">
      <c r="A7" s="11" t="s">
        <v>286</v>
      </c>
      <c r="B7" s="19" t="s">
        <v>288</v>
      </c>
      <c r="C7" s="11"/>
      <c r="D7" s="11"/>
      <c r="E7" s="17"/>
      <c r="F7" s="17"/>
      <c r="G7" s="17"/>
      <c r="H7" s="17"/>
    </row>
    <row r="8" spans="1:15" s="18" customFormat="1" x14ac:dyDescent="0.2">
      <c r="A8" s="11" t="s">
        <v>216</v>
      </c>
      <c r="B8" s="19" t="s">
        <v>288</v>
      </c>
      <c r="C8" s="11" t="s">
        <v>217</v>
      </c>
      <c r="D8" s="11">
        <v>1</v>
      </c>
      <c r="E8" s="17"/>
      <c r="F8" s="17">
        <v>5000</v>
      </c>
      <c r="G8" s="17"/>
      <c r="H8" s="17">
        <f t="shared" si="1"/>
        <v>5000</v>
      </c>
    </row>
    <row r="9" spans="1:15" s="18" customFormat="1" x14ac:dyDescent="0.2">
      <c r="A9" s="11" t="s">
        <v>142</v>
      </c>
      <c r="B9" s="19" t="s">
        <v>288</v>
      </c>
      <c r="C9" s="11" t="s">
        <v>53</v>
      </c>
      <c r="D9" s="11">
        <v>70</v>
      </c>
      <c r="E9" s="17">
        <v>8000</v>
      </c>
      <c r="F9" s="17">
        <v>7500</v>
      </c>
      <c r="G9" s="17">
        <f>D9*E9</f>
        <v>560000</v>
      </c>
      <c r="H9" s="17">
        <f t="shared" si="1"/>
        <v>525000</v>
      </c>
    </row>
    <row r="10" spans="1:15" x14ac:dyDescent="0.2">
      <c r="A10" s="11" t="s">
        <v>183</v>
      </c>
      <c r="B10" s="19" t="s">
        <v>288</v>
      </c>
      <c r="C10" s="11" t="s">
        <v>53</v>
      </c>
      <c r="D10" s="11">
        <v>11</v>
      </c>
      <c r="E10" s="12">
        <v>12000</v>
      </c>
      <c r="F10" s="12">
        <v>11500</v>
      </c>
      <c r="G10" s="12">
        <f t="shared" si="0"/>
        <v>132000</v>
      </c>
      <c r="H10" s="12">
        <f t="shared" si="1"/>
        <v>126500</v>
      </c>
    </row>
    <row r="11" spans="1:15" x14ac:dyDescent="0.2">
      <c r="A11" s="11" t="s">
        <v>199</v>
      </c>
      <c r="B11" s="19"/>
      <c r="C11" s="11" t="s">
        <v>53</v>
      </c>
      <c r="D11" s="11">
        <v>4</v>
      </c>
      <c r="E11" s="12">
        <v>20000</v>
      </c>
      <c r="F11" s="12"/>
      <c r="G11" s="12"/>
      <c r="H11" s="12">
        <f t="shared" si="1"/>
        <v>0</v>
      </c>
      <c r="I11" s="10">
        <f>D11*E11</f>
        <v>80000</v>
      </c>
    </row>
    <row r="12" spans="1:15" x14ac:dyDescent="0.2">
      <c r="A12" s="11" t="s">
        <v>141</v>
      </c>
      <c r="B12" s="19" t="s">
        <v>288</v>
      </c>
      <c r="C12" s="11" t="s">
        <v>53</v>
      </c>
      <c r="D12" s="11">
        <v>8</v>
      </c>
      <c r="E12" s="12">
        <v>21000</v>
      </c>
      <c r="F12" s="12">
        <v>19500</v>
      </c>
      <c r="G12" s="12">
        <f>D12*E12</f>
        <v>168000</v>
      </c>
      <c r="H12" s="12">
        <f t="shared" si="1"/>
        <v>156000</v>
      </c>
    </row>
    <row r="13" spans="1:15" x14ac:dyDescent="0.2">
      <c r="A13" s="11" t="s">
        <v>143</v>
      </c>
      <c r="B13" s="19" t="s">
        <v>288</v>
      </c>
      <c r="C13" s="11" t="s">
        <v>53</v>
      </c>
      <c r="D13" s="11">
        <v>4</v>
      </c>
      <c r="E13" s="12">
        <v>23000</v>
      </c>
      <c r="F13" s="12">
        <v>21500</v>
      </c>
      <c r="G13" s="12">
        <f t="shared" si="0"/>
        <v>92000</v>
      </c>
      <c r="H13" s="12">
        <f t="shared" si="1"/>
        <v>86000</v>
      </c>
      <c r="I13" s="10"/>
    </row>
    <row r="14" spans="1:15" x14ac:dyDescent="0.2">
      <c r="A14" s="11" t="s">
        <v>186</v>
      </c>
      <c r="B14" s="19" t="s">
        <v>288</v>
      </c>
      <c r="C14" s="11" t="s">
        <v>217</v>
      </c>
      <c r="D14" s="11">
        <v>1</v>
      </c>
      <c r="E14" s="12">
        <v>125000</v>
      </c>
      <c r="F14" s="12">
        <v>120000</v>
      </c>
      <c r="G14" s="12">
        <f t="shared" si="0"/>
        <v>125000</v>
      </c>
      <c r="H14" s="12">
        <f t="shared" si="1"/>
        <v>120000</v>
      </c>
    </row>
    <row r="15" spans="1:15" x14ac:dyDescent="0.2">
      <c r="A15" s="11" t="s">
        <v>187</v>
      </c>
      <c r="B15" s="19" t="s">
        <v>288</v>
      </c>
      <c r="C15" s="11" t="s">
        <v>217</v>
      </c>
      <c r="D15" s="11">
        <v>2</v>
      </c>
      <c r="E15" s="12">
        <v>26000</v>
      </c>
      <c r="F15" s="12">
        <v>25000</v>
      </c>
      <c r="G15" s="12">
        <f t="shared" si="0"/>
        <v>52000</v>
      </c>
      <c r="H15" s="12">
        <f t="shared" si="1"/>
        <v>50000</v>
      </c>
    </row>
    <row r="16" spans="1:15" x14ac:dyDescent="0.2">
      <c r="A16" s="11" t="s">
        <v>188</v>
      </c>
      <c r="B16" s="19" t="s">
        <v>288</v>
      </c>
      <c r="C16" s="11" t="s">
        <v>53</v>
      </c>
      <c r="D16" s="11">
        <v>80</v>
      </c>
      <c r="E16" s="12">
        <v>5000</v>
      </c>
      <c r="F16" s="12">
        <v>4500</v>
      </c>
      <c r="G16" s="12">
        <f t="shared" si="0"/>
        <v>400000</v>
      </c>
      <c r="H16" s="12">
        <f t="shared" si="1"/>
        <v>360000</v>
      </c>
    </row>
    <row r="17" spans="1:14" x14ac:dyDescent="0.2">
      <c r="A17" s="11" t="s">
        <v>189</v>
      </c>
      <c r="B17" s="19" t="s">
        <v>288</v>
      </c>
      <c r="C17" s="11" t="s">
        <v>217</v>
      </c>
      <c r="D17" s="11">
        <v>3</v>
      </c>
      <c r="E17" s="12">
        <v>24000</v>
      </c>
      <c r="F17" s="12">
        <v>24000</v>
      </c>
      <c r="G17" s="12">
        <f t="shared" si="0"/>
        <v>72000</v>
      </c>
      <c r="H17" s="12">
        <f t="shared" si="1"/>
        <v>72000</v>
      </c>
    </row>
    <row r="18" spans="1:14" x14ac:dyDescent="0.2">
      <c r="A18" s="11" t="s">
        <v>190</v>
      </c>
      <c r="B18" s="19" t="s">
        <v>288</v>
      </c>
      <c r="C18" s="11" t="s">
        <v>53</v>
      </c>
      <c r="D18" s="11">
        <v>10</v>
      </c>
      <c r="E18" s="12">
        <v>3600</v>
      </c>
      <c r="F18" s="12">
        <v>3600</v>
      </c>
      <c r="G18" s="12">
        <f t="shared" si="0"/>
        <v>36000</v>
      </c>
      <c r="H18" s="12">
        <f t="shared" si="1"/>
        <v>36000</v>
      </c>
      <c r="M18" s="8">
        <v>1</v>
      </c>
      <c r="N18" s="10">
        <f>M18*F18</f>
        <v>3600</v>
      </c>
    </row>
    <row r="19" spans="1:14" x14ac:dyDescent="0.2">
      <c r="A19" s="11" t="s">
        <v>144</v>
      </c>
      <c r="B19" s="19" t="s">
        <v>288</v>
      </c>
      <c r="C19" s="11" t="s">
        <v>85</v>
      </c>
      <c r="D19" s="11">
        <v>10</v>
      </c>
      <c r="E19" s="12">
        <v>26000</v>
      </c>
      <c r="F19" s="12">
        <v>26000</v>
      </c>
      <c r="G19" s="12">
        <f t="shared" si="0"/>
        <v>260000</v>
      </c>
      <c r="H19" s="12">
        <f t="shared" si="1"/>
        <v>260000</v>
      </c>
    </row>
    <row r="20" spans="1:14" x14ac:dyDescent="0.2">
      <c r="A20" s="11" t="s">
        <v>88</v>
      </c>
      <c r="B20" s="19" t="s">
        <v>288</v>
      </c>
      <c r="C20" s="11" t="s">
        <v>53</v>
      </c>
      <c r="D20" s="11">
        <v>0</v>
      </c>
      <c r="E20" s="12">
        <v>36000</v>
      </c>
      <c r="F20" s="12">
        <v>36000</v>
      </c>
      <c r="G20" s="12">
        <f t="shared" si="0"/>
        <v>0</v>
      </c>
      <c r="H20" s="12">
        <f t="shared" si="1"/>
        <v>0</v>
      </c>
    </row>
    <row r="21" spans="1:14" x14ac:dyDescent="0.2">
      <c r="A21" s="11" t="s">
        <v>191</v>
      </c>
      <c r="B21" s="19" t="s">
        <v>288</v>
      </c>
      <c r="C21" s="11" t="s">
        <v>53</v>
      </c>
      <c r="D21" s="11">
        <v>6</v>
      </c>
      <c r="E21" s="12">
        <v>16000</v>
      </c>
      <c r="F21" s="12">
        <v>15000</v>
      </c>
      <c r="G21" s="12">
        <f t="shared" si="0"/>
        <v>96000</v>
      </c>
      <c r="H21" s="12">
        <f t="shared" si="1"/>
        <v>90000</v>
      </c>
    </row>
    <row r="22" spans="1:14" x14ac:dyDescent="0.2">
      <c r="A22" s="11" t="s">
        <v>192</v>
      </c>
      <c r="B22" s="19" t="s">
        <v>288</v>
      </c>
      <c r="C22" s="11" t="s">
        <v>53</v>
      </c>
      <c r="D22" s="11">
        <v>2</v>
      </c>
      <c r="E22" s="12">
        <v>17000</v>
      </c>
      <c r="F22" s="12">
        <v>16000</v>
      </c>
      <c r="G22" s="12">
        <f t="shared" si="0"/>
        <v>34000</v>
      </c>
      <c r="H22" s="12">
        <f t="shared" si="1"/>
        <v>32000</v>
      </c>
    </row>
    <row r="23" spans="1:14" x14ac:dyDescent="0.2">
      <c r="A23" s="13" t="s">
        <v>147</v>
      </c>
      <c r="B23" s="19" t="s">
        <v>288</v>
      </c>
      <c r="C23" s="11" t="s">
        <v>85</v>
      </c>
      <c r="D23" s="11">
        <v>1</v>
      </c>
      <c r="E23" s="12">
        <v>32000</v>
      </c>
      <c r="F23" s="12">
        <v>30000</v>
      </c>
      <c r="G23" s="12">
        <f t="shared" si="0"/>
        <v>32000</v>
      </c>
      <c r="H23" s="12">
        <f t="shared" si="1"/>
        <v>30000</v>
      </c>
    </row>
    <row r="24" spans="1:14" x14ac:dyDescent="0.2">
      <c r="A24" s="13" t="s">
        <v>81</v>
      </c>
      <c r="B24" s="19"/>
      <c r="C24" s="11" t="s">
        <v>85</v>
      </c>
      <c r="D24" s="11">
        <v>0</v>
      </c>
      <c r="E24" s="12">
        <v>42000</v>
      </c>
      <c r="F24" s="12"/>
      <c r="G24" s="12">
        <f t="shared" si="0"/>
        <v>0</v>
      </c>
      <c r="H24" s="12">
        <f t="shared" si="1"/>
        <v>0</v>
      </c>
      <c r="I24" s="16">
        <v>41000</v>
      </c>
    </row>
    <row r="25" spans="1:14" x14ac:dyDescent="0.2">
      <c r="A25" s="11" t="s">
        <v>193</v>
      </c>
      <c r="B25" s="19" t="s">
        <v>288</v>
      </c>
      <c r="C25" s="11" t="s">
        <v>85</v>
      </c>
      <c r="D25" s="11">
        <v>1</v>
      </c>
      <c r="E25" s="12">
        <v>12000</v>
      </c>
      <c r="F25" s="12">
        <v>12000</v>
      </c>
      <c r="G25" s="12">
        <f t="shared" si="0"/>
        <v>12000</v>
      </c>
      <c r="H25" s="12">
        <f t="shared" si="1"/>
        <v>12000</v>
      </c>
    </row>
    <row r="26" spans="1:14" x14ac:dyDescent="0.2">
      <c r="A26" s="11" t="s">
        <v>194</v>
      </c>
      <c r="B26" s="19" t="s">
        <v>288</v>
      </c>
      <c r="C26" s="11" t="s">
        <v>85</v>
      </c>
      <c r="D26" s="11">
        <v>1</v>
      </c>
      <c r="E26" s="12">
        <v>15000</v>
      </c>
      <c r="F26" s="12">
        <v>15000</v>
      </c>
      <c r="G26" s="12">
        <f t="shared" si="0"/>
        <v>15000</v>
      </c>
      <c r="H26" s="12">
        <f t="shared" si="1"/>
        <v>15000</v>
      </c>
    </row>
    <row r="27" spans="1:14" x14ac:dyDescent="0.2">
      <c r="A27" s="11" t="s">
        <v>195</v>
      </c>
      <c r="B27" s="19" t="s">
        <v>288</v>
      </c>
      <c r="C27" s="11" t="s">
        <v>85</v>
      </c>
      <c r="D27" s="11">
        <v>1</v>
      </c>
      <c r="E27" s="12">
        <v>25300</v>
      </c>
      <c r="F27" s="12">
        <v>25000</v>
      </c>
      <c r="G27" s="12">
        <f t="shared" si="0"/>
        <v>25300</v>
      </c>
      <c r="H27" s="12">
        <f t="shared" si="1"/>
        <v>25000</v>
      </c>
    </row>
    <row r="28" spans="1:14" x14ac:dyDescent="0.2">
      <c r="A28" s="11" t="s">
        <v>114</v>
      </c>
      <c r="B28" s="19" t="s">
        <v>288</v>
      </c>
      <c r="C28" s="11" t="s">
        <v>53</v>
      </c>
      <c r="D28" s="11">
        <v>14</v>
      </c>
      <c r="E28" s="12">
        <v>500</v>
      </c>
      <c r="F28" s="12">
        <v>500</v>
      </c>
      <c r="G28" s="12">
        <f t="shared" si="0"/>
        <v>7000</v>
      </c>
      <c r="H28" s="12">
        <f t="shared" si="1"/>
        <v>7000</v>
      </c>
    </row>
    <row r="29" spans="1:14" x14ac:dyDescent="0.2">
      <c r="A29" s="11" t="s">
        <v>148</v>
      </c>
      <c r="B29" s="19" t="s">
        <v>288</v>
      </c>
      <c r="C29" s="11" t="s">
        <v>53</v>
      </c>
      <c r="D29" s="11">
        <v>250</v>
      </c>
      <c r="E29" s="12">
        <v>200</v>
      </c>
      <c r="F29" s="12">
        <v>200</v>
      </c>
      <c r="G29" s="12">
        <f t="shared" si="0"/>
        <v>50000</v>
      </c>
      <c r="H29" s="12">
        <f t="shared" si="1"/>
        <v>50000</v>
      </c>
    </row>
    <row r="30" spans="1:14" x14ac:dyDescent="0.2">
      <c r="A30" s="11" t="s">
        <v>79</v>
      </c>
      <c r="B30" s="19" t="s">
        <v>288</v>
      </c>
      <c r="C30" s="11" t="s">
        <v>53</v>
      </c>
      <c r="D30" s="11">
        <v>1</v>
      </c>
      <c r="E30" s="12">
        <v>18000</v>
      </c>
      <c r="F30" s="12">
        <v>18000</v>
      </c>
      <c r="G30" s="12">
        <f t="shared" si="0"/>
        <v>18000</v>
      </c>
      <c r="H30" s="12">
        <f t="shared" si="1"/>
        <v>18000</v>
      </c>
    </row>
    <row r="31" spans="1:14" s="18" customFormat="1" x14ac:dyDescent="0.2">
      <c r="A31" s="11" t="s">
        <v>196</v>
      </c>
      <c r="B31" s="19"/>
      <c r="C31" s="11" t="s">
        <v>53</v>
      </c>
      <c r="D31" s="11">
        <v>2</v>
      </c>
      <c r="E31" s="17">
        <v>162000</v>
      </c>
      <c r="F31" s="17">
        <v>162000</v>
      </c>
      <c r="G31" s="17">
        <f t="shared" si="0"/>
        <v>324000</v>
      </c>
      <c r="H31" s="17">
        <f t="shared" si="1"/>
        <v>324000</v>
      </c>
    </row>
    <row r="32" spans="1:14" x14ac:dyDescent="0.2">
      <c r="A32" s="11" t="s">
        <v>214</v>
      </c>
      <c r="B32" s="19"/>
      <c r="C32" s="11" t="s">
        <v>53</v>
      </c>
      <c r="D32" s="11">
        <v>1</v>
      </c>
      <c r="E32" s="12">
        <v>600000</v>
      </c>
      <c r="F32" s="12">
        <v>600000</v>
      </c>
      <c r="G32" s="12">
        <f t="shared" si="0"/>
        <v>600000</v>
      </c>
      <c r="H32" s="12">
        <v>0</v>
      </c>
    </row>
    <row r="33" spans="1:14" x14ac:dyDescent="0.2">
      <c r="A33" s="11" t="s">
        <v>338</v>
      </c>
      <c r="B33" s="19"/>
      <c r="C33" s="11" t="s">
        <v>53</v>
      </c>
      <c r="D33" s="11">
        <v>1</v>
      </c>
      <c r="E33" s="12"/>
      <c r="F33" s="12"/>
      <c r="G33" s="12">
        <f t="shared" ref="G33" si="2">D33*E33</f>
        <v>0</v>
      </c>
      <c r="H33" s="12">
        <v>420000</v>
      </c>
    </row>
    <row r="34" spans="1:14" x14ac:dyDescent="0.2">
      <c r="A34" s="11" t="s">
        <v>215</v>
      </c>
      <c r="B34" s="19"/>
      <c r="C34" s="11" t="s">
        <v>53</v>
      </c>
      <c r="D34" s="11">
        <v>10</v>
      </c>
      <c r="E34" s="12">
        <v>15000</v>
      </c>
      <c r="F34" s="12">
        <v>15000</v>
      </c>
      <c r="G34" s="12">
        <f>D34*E34</f>
        <v>150000</v>
      </c>
      <c r="H34" s="12">
        <f>D34*F34</f>
        <v>150000</v>
      </c>
      <c r="M34" s="8">
        <v>3</v>
      </c>
      <c r="N34" s="10">
        <f>M34*F34</f>
        <v>45000</v>
      </c>
    </row>
    <row r="35" spans="1:14" x14ac:dyDescent="0.2">
      <c r="A35" s="11" t="s">
        <v>205</v>
      </c>
      <c r="B35" s="11"/>
      <c r="C35" s="11" t="s">
        <v>201</v>
      </c>
      <c r="D35" s="11">
        <v>4</v>
      </c>
      <c r="E35" s="12">
        <v>35000</v>
      </c>
      <c r="F35" s="12"/>
      <c r="G35" s="12"/>
      <c r="H35" s="12">
        <f t="shared" si="1"/>
        <v>0</v>
      </c>
      <c r="J35" s="10">
        <f>D35*E35</f>
        <v>140000</v>
      </c>
    </row>
    <row r="36" spans="1:14" x14ac:dyDescent="0.2">
      <c r="A36" s="11" t="s">
        <v>203</v>
      </c>
      <c r="B36" s="11"/>
      <c r="C36" s="11" t="s">
        <v>204</v>
      </c>
      <c r="D36" s="11">
        <v>22</v>
      </c>
      <c r="E36" s="12">
        <v>7000</v>
      </c>
      <c r="F36" s="12"/>
      <c r="G36" s="12"/>
      <c r="H36" s="12">
        <f t="shared" si="1"/>
        <v>0</v>
      </c>
      <c r="J36" s="10">
        <f>D36*E36</f>
        <v>154000</v>
      </c>
    </row>
    <row r="37" spans="1:14" x14ac:dyDescent="0.2">
      <c r="A37" s="11" t="s">
        <v>200</v>
      </c>
      <c r="B37" s="11"/>
      <c r="C37" s="11" t="s">
        <v>53</v>
      </c>
      <c r="D37" s="11">
        <v>12</v>
      </c>
      <c r="E37" s="15"/>
      <c r="F37" s="15"/>
      <c r="H37" s="12">
        <f t="shared" si="1"/>
        <v>0</v>
      </c>
      <c r="K37" s="12">
        <v>17000</v>
      </c>
    </row>
    <row r="38" spans="1:14" x14ac:dyDescent="0.2">
      <c r="A38" s="11" t="s">
        <v>207</v>
      </c>
      <c r="B38" s="11"/>
      <c r="C38" s="11" t="s">
        <v>53</v>
      </c>
      <c r="D38" s="11">
        <v>4</v>
      </c>
      <c r="E38" s="12">
        <v>21000</v>
      </c>
      <c r="F38" s="12"/>
      <c r="H38" s="12">
        <f t="shared" si="1"/>
        <v>0</v>
      </c>
      <c r="K38" s="12">
        <f>D38*E38</f>
        <v>84000</v>
      </c>
    </row>
    <row r="39" spans="1:14" x14ac:dyDescent="0.2">
      <c r="A39" s="11" t="s">
        <v>211</v>
      </c>
      <c r="B39" s="11"/>
      <c r="C39" s="11"/>
      <c r="D39" s="11"/>
      <c r="E39" s="12"/>
      <c r="F39" s="12"/>
      <c r="H39" s="12">
        <f t="shared" si="1"/>
        <v>0</v>
      </c>
      <c r="K39" s="12"/>
      <c r="L39" s="16">
        <v>76000</v>
      </c>
    </row>
    <row r="40" spans="1:14" x14ac:dyDescent="0.2">
      <c r="A40" s="11" t="s">
        <v>335</v>
      </c>
      <c r="B40" s="11"/>
      <c r="C40" s="11"/>
      <c r="D40" s="11"/>
      <c r="E40" s="15"/>
      <c r="F40" s="15"/>
      <c r="K40" s="12"/>
      <c r="L40" s="16">
        <v>50000</v>
      </c>
    </row>
    <row r="41" spans="1:14" x14ac:dyDescent="0.2">
      <c r="A41" s="11" t="s">
        <v>337</v>
      </c>
      <c r="B41" s="11"/>
      <c r="C41" s="11"/>
      <c r="D41" s="11"/>
      <c r="E41" s="15"/>
      <c r="F41" s="15"/>
      <c r="K41" s="12"/>
      <c r="L41" s="16">
        <v>20708</v>
      </c>
    </row>
    <row r="42" spans="1:14" x14ac:dyDescent="0.2">
      <c r="A42" s="11" t="s">
        <v>373</v>
      </c>
      <c r="B42" s="11"/>
      <c r="C42" s="11"/>
      <c r="D42" s="11"/>
      <c r="E42" s="15"/>
      <c r="F42" s="15"/>
      <c r="K42" s="12"/>
      <c r="L42" s="16"/>
      <c r="N42" s="16">
        <v>30000</v>
      </c>
    </row>
    <row r="43" spans="1:14" x14ac:dyDescent="0.2">
      <c r="A43" s="11" t="s">
        <v>374</v>
      </c>
      <c r="B43" s="11"/>
      <c r="C43" s="11"/>
      <c r="D43" s="11"/>
      <c r="E43" s="15"/>
      <c r="F43" s="15"/>
      <c r="K43" s="12"/>
      <c r="L43" s="16"/>
      <c r="N43" s="16">
        <v>26700</v>
      </c>
    </row>
    <row r="44" spans="1:14" x14ac:dyDescent="0.2">
      <c r="A44" s="11"/>
      <c r="B44" s="11"/>
      <c r="C44" s="11"/>
      <c r="D44" s="11"/>
      <c r="E44" s="11"/>
      <c r="F44" s="11"/>
      <c r="G44" s="14">
        <f>SUM(G3:G40)</f>
        <v>3914800</v>
      </c>
      <c r="H44" s="14">
        <f>SUM(H3:H41)</f>
        <v>3593200</v>
      </c>
      <c r="I44" s="14">
        <f>SUM(I3:I41)</f>
        <v>149000</v>
      </c>
      <c r="J44" s="14">
        <f>SUM(J3:J41)</f>
        <v>294000</v>
      </c>
      <c r="K44" s="14">
        <f>SUM(K3:K41)</f>
        <v>101000</v>
      </c>
      <c r="L44" s="14">
        <f>SUM(L3:L41)</f>
        <v>146708</v>
      </c>
      <c r="N44" s="16">
        <f>SUM(N3:N43)</f>
        <v>279300</v>
      </c>
    </row>
    <row r="45" spans="1:14" x14ac:dyDescent="0.2">
      <c r="A45" s="11"/>
      <c r="B45" s="11"/>
      <c r="C45" s="11"/>
      <c r="D45" s="11"/>
      <c r="E45" s="11"/>
      <c r="F45" s="11"/>
      <c r="G45" s="14"/>
      <c r="H45" s="14">
        <f>SUM(H44:N44)</f>
        <v>4563208</v>
      </c>
      <c r="M45" s="8" t="s">
        <v>341</v>
      </c>
      <c r="N45" s="10">
        <f>180000+F20+F8</f>
        <v>221000</v>
      </c>
    </row>
    <row r="46" spans="1:14" x14ac:dyDescent="0.2">
      <c r="A46" s="11"/>
      <c r="B46" s="11"/>
      <c r="C46" s="11"/>
      <c r="D46" s="11"/>
      <c r="E46" s="11"/>
      <c r="F46" s="11"/>
      <c r="G46" s="11"/>
      <c r="H46" s="11"/>
      <c r="M46" s="8" t="s">
        <v>340</v>
      </c>
      <c r="N46" s="10">
        <f>N45-N44</f>
        <v>-58300</v>
      </c>
    </row>
    <row r="47" spans="1:14" x14ac:dyDescent="0.2">
      <c r="A47" s="11"/>
      <c r="B47" s="11"/>
      <c r="C47" s="11"/>
      <c r="D47" s="11"/>
      <c r="E47" s="11"/>
      <c r="F47" s="11"/>
      <c r="G47" s="11"/>
      <c r="H47" s="11"/>
      <c r="N47" s="8">
        <v>88100</v>
      </c>
    </row>
    <row r="48" spans="1:14" x14ac:dyDescent="0.2">
      <c r="A48" s="11"/>
      <c r="B48" s="11"/>
      <c r="C48" s="11"/>
      <c r="D48" s="11"/>
      <c r="E48" s="11"/>
      <c r="F48" s="11"/>
      <c r="G48" s="11"/>
      <c r="H48" s="11"/>
      <c r="N48" s="10">
        <f>N47+N46</f>
        <v>29800</v>
      </c>
    </row>
    <row r="49" spans="1:8" x14ac:dyDescent="0.2">
      <c r="A49" s="11"/>
      <c r="B49" s="11"/>
      <c r="C49" s="11"/>
      <c r="D49" s="11"/>
      <c r="E49" s="11"/>
      <c r="F49" s="11"/>
      <c r="G49" s="11"/>
      <c r="H49" s="11"/>
    </row>
  </sheetData>
  <phoneticPr fontId="3" type="noConversion"/>
  <pageMargins left="0.7" right="0.7" top="0.75" bottom="0.75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3" sqref="E33"/>
    </sheetView>
  </sheetViews>
  <sheetFormatPr baseColWidth="10" defaultRowHeight="16" x14ac:dyDescent="0.2"/>
  <cols>
    <col min="1" max="1" width="18.6640625" bestFit="1" customWidth="1"/>
    <col min="2" max="2" width="6.1640625" customWidth="1"/>
    <col min="6" max="6" width="9.1640625" customWidth="1"/>
  </cols>
  <sheetData>
    <row r="1" spans="1:6" x14ac:dyDescent="0.2">
      <c r="A1" t="s">
        <v>1</v>
      </c>
      <c r="B1" t="s">
        <v>274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28</v>
      </c>
      <c r="B2">
        <v>4</v>
      </c>
      <c r="C2" t="s">
        <v>26</v>
      </c>
      <c r="D2" t="s">
        <v>24</v>
      </c>
      <c r="E2" t="s">
        <v>25</v>
      </c>
      <c r="F2">
        <v>32</v>
      </c>
    </row>
    <row r="3" spans="1:6" x14ac:dyDescent="0.2">
      <c r="A3" t="s">
        <v>226</v>
      </c>
      <c r="B3">
        <v>2</v>
      </c>
      <c r="C3" t="s">
        <v>24</v>
      </c>
      <c r="D3" t="s">
        <v>227</v>
      </c>
      <c r="E3" t="s">
        <v>25</v>
      </c>
      <c r="F3">
        <v>8</v>
      </c>
    </row>
    <row r="4" spans="1:6" x14ac:dyDescent="0.2">
      <c r="A4" t="s">
        <v>228</v>
      </c>
      <c r="B4">
        <v>1</v>
      </c>
      <c r="C4" t="s">
        <v>229</v>
      </c>
      <c r="D4" t="s">
        <v>24</v>
      </c>
      <c r="E4" t="s">
        <v>25</v>
      </c>
      <c r="F4">
        <v>7.44</v>
      </c>
    </row>
    <row r="5" spans="1:6" x14ac:dyDescent="0.2">
      <c r="A5" t="s">
        <v>230</v>
      </c>
      <c r="B5">
        <v>1</v>
      </c>
      <c r="C5" t="s">
        <v>24</v>
      </c>
      <c r="D5" t="s">
        <v>41</v>
      </c>
      <c r="E5" t="s">
        <v>25</v>
      </c>
      <c r="F5">
        <v>4</v>
      </c>
    </row>
    <row r="6" spans="1:6" x14ac:dyDescent="0.2">
      <c r="A6" t="s">
        <v>231</v>
      </c>
      <c r="B6">
        <v>1</v>
      </c>
      <c r="C6" t="s">
        <v>232</v>
      </c>
      <c r="D6" t="s">
        <v>24</v>
      </c>
      <c r="E6" t="s">
        <v>25</v>
      </c>
      <c r="F6">
        <v>7.58</v>
      </c>
    </row>
    <row r="7" spans="1:6" x14ac:dyDescent="0.2">
      <c r="A7" t="s">
        <v>233</v>
      </c>
      <c r="B7">
        <v>1</v>
      </c>
      <c r="C7" t="s">
        <v>24</v>
      </c>
      <c r="D7" t="s">
        <v>234</v>
      </c>
      <c r="E7" t="s">
        <v>25</v>
      </c>
      <c r="F7">
        <v>4</v>
      </c>
    </row>
    <row r="8" spans="1:6" x14ac:dyDescent="0.2">
      <c r="A8" t="s">
        <v>235</v>
      </c>
      <c r="B8">
        <v>4</v>
      </c>
      <c r="C8" t="s">
        <v>26</v>
      </c>
      <c r="D8" t="s">
        <v>24</v>
      </c>
      <c r="E8" t="s">
        <v>25</v>
      </c>
      <c r="F8">
        <v>32</v>
      </c>
    </row>
    <row r="9" spans="1:6" x14ac:dyDescent="0.2">
      <c r="A9" t="s">
        <v>236</v>
      </c>
      <c r="B9">
        <v>2</v>
      </c>
      <c r="C9" t="s">
        <v>237</v>
      </c>
      <c r="D9" t="s">
        <v>24</v>
      </c>
      <c r="E9" t="s">
        <v>25</v>
      </c>
      <c r="F9">
        <v>12.5</v>
      </c>
    </row>
    <row r="10" spans="1:6" x14ac:dyDescent="0.2">
      <c r="A10" t="s">
        <v>238</v>
      </c>
      <c r="B10">
        <v>2</v>
      </c>
      <c r="C10" t="s">
        <v>41</v>
      </c>
      <c r="D10" t="s">
        <v>24</v>
      </c>
      <c r="E10" t="s">
        <v>25</v>
      </c>
      <c r="F10">
        <v>6.7</v>
      </c>
    </row>
    <row r="11" spans="1:6" x14ac:dyDescent="0.2">
      <c r="A11" t="s">
        <v>239</v>
      </c>
      <c r="B11">
        <v>2</v>
      </c>
      <c r="C11" t="s">
        <v>237</v>
      </c>
      <c r="D11" t="s">
        <v>275</v>
      </c>
      <c r="E11" t="s">
        <v>25</v>
      </c>
      <c r="F11">
        <v>12.5</v>
      </c>
    </row>
    <row r="12" spans="1:6" x14ac:dyDescent="0.2">
      <c r="A12" t="s">
        <v>240</v>
      </c>
      <c r="B12">
        <v>2</v>
      </c>
      <c r="C12" t="s">
        <v>24</v>
      </c>
      <c r="D12" t="s">
        <v>24</v>
      </c>
      <c r="E12" t="s">
        <v>25</v>
      </c>
      <c r="F12">
        <v>8</v>
      </c>
    </row>
    <row r="13" spans="1:6" x14ac:dyDescent="0.2">
      <c r="A13" t="s">
        <v>241</v>
      </c>
      <c r="B13">
        <v>2</v>
      </c>
      <c r="C13" t="s">
        <v>26</v>
      </c>
      <c r="D13" t="s">
        <v>275</v>
      </c>
      <c r="E13" t="s">
        <v>25</v>
      </c>
      <c r="F13">
        <v>16</v>
      </c>
    </row>
    <row r="14" spans="1:6" x14ac:dyDescent="0.2">
      <c r="A14" t="s">
        <v>242</v>
      </c>
      <c r="B14">
        <v>1</v>
      </c>
      <c r="C14" t="s">
        <v>237</v>
      </c>
      <c r="D14" t="s">
        <v>24</v>
      </c>
      <c r="E14" t="s">
        <v>25</v>
      </c>
      <c r="F14">
        <v>6.25</v>
      </c>
    </row>
    <row r="15" spans="1:6" x14ac:dyDescent="0.2">
      <c r="A15" t="s">
        <v>243</v>
      </c>
      <c r="B15">
        <v>1</v>
      </c>
      <c r="C15" t="s">
        <v>24</v>
      </c>
      <c r="D15" t="s">
        <v>27</v>
      </c>
      <c r="E15" t="s">
        <v>25</v>
      </c>
      <c r="F15">
        <v>4</v>
      </c>
    </row>
    <row r="16" spans="1:6" x14ac:dyDescent="0.2">
      <c r="A16" t="s">
        <v>244</v>
      </c>
      <c r="B16">
        <v>1</v>
      </c>
      <c r="C16" t="s">
        <v>24</v>
      </c>
      <c r="D16" t="s">
        <v>245</v>
      </c>
      <c r="E16" t="s">
        <v>25</v>
      </c>
      <c r="F16">
        <v>4</v>
      </c>
    </row>
    <row r="17" spans="1:6" x14ac:dyDescent="0.2">
      <c r="A17" t="s">
        <v>246</v>
      </c>
      <c r="B17">
        <v>2</v>
      </c>
      <c r="C17" t="s">
        <v>26</v>
      </c>
      <c r="D17" t="s">
        <v>247</v>
      </c>
      <c r="E17" t="s">
        <v>25</v>
      </c>
      <c r="F17">
        <v>16</v>
      </c>
    </row>
    <row r="18" spans="1:6" x14ac:dyDescent="0.2">
      <c r="A18" t="s">
        <v>248</v>
      </c>
      <c r="B18">
        <v>2</v>
      </c>
      <c r="C18" t="s">
        <v>237</v>
      </c>
      <c r="D18" t="s">
        <v>247</v>
      </c>
      <c r="E18" t="s">
        <v>25</v>
      </c>
      <c r="F18">
        <v>12.5</v>
      </c>
    </row>
    <row r="19" spans="1:6" x14ac:dyDescent="0.2">
      <c r="A19" t="s">
        <v>249</v>
      </c>
      <c r="B19">
        <v>2</v>
      </c>
      <c r="C19" t="s">
        <v>250</v>
      </c>
      <c r="D19" t="s">
        <v>24</v>
      </c>
      <c r="E19" t="s">
        <v>25</v>
      </c>
      <c r="F19">
        <v>11.5</v>
      </c>
    </row>
    <row r="20" spans="1:6" x14ac:dyDescent="0.2">
      <c r="A20" t="s">
        <v>251</v>
      </c>
      <c r="B20">
        <v>2</v>
      </c>
      <c r="C20" t="s">
        <v>24</v>
      </c>
      <c r="D20" t="s">
        <v>252</v>
      </c>
      <c r="E20" t="s">
        <v>25</v>
      </c>
      <c r="F20">
        <v>8</v>
      </c>
    </row>
    <row r="21" spans="1:6" x14ac:dyDescent="0.2">
      <c r="A21" t="s">
        <v>253</v>
      </c>
      <c r="B21">
        <v>2</v>
      </c>
      <c r="C21" t="s">
        <v>44</v>
      </c>
      <c r="D21" t="s">
        <v>254</v>
      </c>
      <c r="E21" t="s">
        <v>25</v>
      </c>
      <c r="F21">
        <v>4</v>
      </c>
    </row>
    <row r="22" spans="1:6" x14ac:dyDescent="0.2">
      <c r="A22" t="s">
        <v>255</v>
      </c>
      <c r="B22">
        <v>2</v>
      </c>
      <c r="C22" t="s">
        <v>256</v>
      </c>
      <c r="D22" t="s">
        <v>24</v>
      </c>
      <c r="E22" t="s">
        <v>25</v>
      </c>
      <c r="F22">
        <v>13.08</v>
      </c>
    </row>
    <row r="23" spans="1:6" x14ac:dyDescent="0.2">
      <c r="A23" t="s">
        <v>257</v>
      </c>
      <c r="B23">
        <v>2</v>
      </c>
      <c r="C23" t="s">
        <v>24</v>
      </c>
      <c r="D23" t="s">
        <v>258</v>
      </c>
      <c r="E23" t="s">
        <v>25</v>
      </c>
      <c r="F23">
        <v>8</v>
      </c>
    </row>
    <row r="24" spans="1:6" x14ac:dyDescent="0.2">
      <c r="A24" t="s">
        <v>259</v>
      </c>
      <c r="B24">
        <v>4</v>
      </c>
      <c r="C24" t="s">
        <v>260</v>
      </c>
      <c r="D24" t="s">
        <v>24</v>
      </c>
      <c r="E24" t="s">
        <v>25</v>
      </c>
      <c r="F24">
        <v>27.52</v>
      </c>
    </row>
    <row r="25" spans="1:6" x14ac:dyDescent="0.2">
      <c r="A25" t="s">
        <v>261</v>
      </c>
      <c r="B25">
        <v>4</v>
      </c>
      <c r="C25" t="s">
        <v>262</v>
      </c>
      <c r="D25" t="s">
        <v>263</v>
      </c>
      <c r="E25" t="s">
        <v>25</v>
      </c>
      <c r="F25">
        <v>8.56</v>
      </c>
    </row>
  </sheetData>
  <autoFilter ref="A1:F25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G39" sqref="G39"/>
    </sheetView>
  </sheetViews>
  <sheetFormatPr baseColWidth="10" defaultRowHeight="16" x14ac:dyDescent="0.2"/>
  <cols>
    <col min="1" max="1" width="18.6640625" bestFit="1" customWidth="1"/>
    <col min="2" max="2" width="9.5" bestFit="1" customWidth="1"/>
    <col min="3" max="3" width="7.33203125" bestFit="1" customWidth="1"/>
    <col min="7" max="7" width="9.1640625" bestFit="1" customWidth="1"/>
    <col min="8" max="8" width="9.33203125" bestFit="1" customWidth="1"/>
    <col min="9" max="9" width="5.1640625" bestFit="1" customWidth="1"/>
    <col min="10" max="10" width="5.5" bestFit="1" customWidth="1"/>
    <col min="11" max="11" width="5.1640625" bestFit="1" customWidth="1"/>
    <col min="12" max="12" width="18.6640625" customWidth="1"/>
  </cols>
  <sheetData>
    <row r="1" spans="1:12" x14ac:dyDescent="0.2">
      <c r="A1" t="s">
        <v>1</v>
      </c>
      <c r="B1" t="s">
        <v>274</v>
      </c>
      <c r="C1" t="s">
        <v>282</v>
      </c>
      <c r="D1" t="s">
        <v>2</v>
      </c>
      <c r="E1" t="s">
        <v>3</v>
      </c>
      <c r="F1" t="s">
        <v>4</v>
      </c>
      <c r="G1" t="s">
        <v>295</v>
      </c>
      <c r="H1" t="s">
        <v>302</v>
      </c>
      <c r="I1" t="s">
        <v>49</v>
      </c>
      <c r="J1" t="s">
        <v>303</v>
      </c>
      <c r="K1" t="s">
        <v>49</v>
      </c>
    </row>
    <row r="2" spans="1:12" x14ac:dyDescent="0.2">
      <c r="A2" t="s">
        <v>35</v>
      </c>
      <c r="B2">
        <v>2</v>
      </c>
      <c r="C2" s="1">
        <f t="shared" ref="C2:C13" si="0">G2/B2</f>
        <v>14.32</v>
      </c>
      <c r="D2" t="s">
        <v>273</v>
      </c>
      <c r="E2" t="s">
        <v>11</v>
      </c>
      <c r="F2" t="s">
        <v>8</v>
      </c>
      <c r="G2">
        <v>28.64</v>
      </c>
      <c r="H2" s="20" t="s">
        <v>170</v>
      </c>
      <c r="I2" s="20">
        <f>B2</f>
        <v>2</v>
      </c>
      <c r="J2" s="21">
        <f>16-C2</f>
        <v>1.6799999999999997</v>
      </c>
      <c r="K2" s="20">
        <f>I2</f>
        <v>2</v>
      </c>
      <c r="L2" s="1"/>
    </row>
    <row r="3" spans="1:12" x14ac:dyDescent="0.2">
      <c r="A3" t="s">
        <v>222</v>
      </c>
      <c r="B3">
        <v>2</v>
      </c>
      <c r="C3" s="1">
        <f t="shared" si="0"/>
        <v>13.96</v>
      </c>
      <c r="D3" t="s">
        <v>223</v>
      </c>
      <c r="E3" t="s">
        <v>11</v>
      </c>
      <c r="F3" t="s">
        <v>8</v>
      </c>
      <c r="G3">
        <v>27.92</v>
      </c>
      <c r="H3" t="s">
        <v>296</v>
      </c>
      <c r="I3">
        <f>B3</f>
        <v>2</v>
      </c>
      <c r="J3" s="1">
        <f t="shared" ref="J3:J6" si="1">16-C3</f>
        <v>2.0399999999999991</v>
      </c>
      <c r="K3">
        <f t="shared" ref="K3:K6" si="2">I3</f>
        <v>2</v>
      </c>
      <c r="L3" s="1"/>
    </row>
    <row r="4" spans="1:12" x14ac:dyDescent="0.2">
      <c r="A4" t="s">
        <v>264</v>
      </c>
      <c r="B4">
        <v>8</v>
      </c>
      <c r="C4" s="1">
        <f t="shared" si="0"/>
        <v>13.96</v>
      </c>
      <c r="D4" t="s">
        <v>223</v>
      </c>
      <c r="E4" t="s">
        <v>11</v>
      </c>
      <c r="F4" t="s">
        <v>8</v>
      </c>
      <c r="G4">
        <v>111.68</v>
      </c>
      <c r="H4" t="s">
        <v>170</v>
      </c>
      <c r="I4">
        <f>B4</f>
        <v>8</v>
      </c>
      <c r="J4" s="1">
        <f t="shared" si="1"/>
        <v>2.0399999999999991</v>
      </c>
      <c r="K4">
        <f t="shared" si="2"/>
        <v>8</v>
      </c>
      <c r="L4" s="1"/>
    </row>
    <row r="5" spans="1:12" x14ac:dyDescent="0.2">
      <c r="A5" t="s">
        <v>224</v>
      </c>
      <c r="B5">
        <v>2</v>
      </c>
      <c r="C5" s="1">
        <f t="shared" si="0"/>
        <v>13.46</v>
      </c>
      <c r="D5" t="s">
        <v>225</v>
      </c>
      <c r="E5" t="s">
        <v>11</v>
      </c>
      <c r="F5" t="s">
        <v>8</v>
      </c>
      <c r="G5">
        <v>26.92</v>
      </c>
      <c r="H5" t="s">
        <v>296</v>
      </c>
      <c r="I5">
        <f>B5</f>
        <v>2</v>
      </c>
      <c r="J5" s="1">
        <f t="shared" si="1"/>
        <v>2.5399999999999991</v>
      </c>
      <c r="K5">
        <f t="shared" si="2"/>
        <v>2</v>
      </c>
      <c r="L5" s="1"/>
    </row>
    <row r="6" spans="1:12" x14ac:dyDescent="0.2">
      <c r="A6" t="s">
        <v>265</v>
      </c>
      <c r="B6">
        <v>8</v>
      </c>
      <c r="C6" s="1">
        <f t="shared" si="0"/>
        <v>13.46</v>
      </c>
      <c r="D6" t="s">
        <v>225</v>
      </c>
      <c r="E6" t="s">
        <v>11</v>
      </c>
      <c r="F6" t="s">
        <v>8</v>
      </c>
      <c r="G6">
        <v>107.68</v>
      </c>
      <c r="H6" t="s">
        <v>170</v>
      </c>
      <c r="I6">
        <f>B6</f>
        <v>8</v>
      </c>
      <c r="J6" s="1">
        <f t="shared" si="1"/>
        <v>2.5399999999999991</v>
      </c>
      <c r="K6">
        <f t="shared" si="2"/>
        <v>8</v>
      </c>
      <c r="L6" s="1"/>
    </row>
    <row r="7" spans="1:12" x14ac:dyDescent="0.2">
      <c r="A7" t="s">
        <v>36</v>
      </c>
      <c r="B7">
        <v>4</v>
      </c>
      <c r="C7" s="1">
        <f t="shared" si="0"/>
        <v>8.6675000000000004</v>
      </c>
      <c r="D7" t="s">
        <v>277</v>
      </c>
      <c r="E7" t="s">
        <v>11</v>
      </c>
      <c r="F7" t="s">
        <v>8</v>
      </c>
      <c r="G7">
        <v>34.67</v>
      </c>
      <c r="L7" s="1"/>
    </row>
    <row r="8" spans="1:12" x14ac:dyDescent="0.2">
      <c r="A8" t="s">
        <v>37</v>
      </c>
      <c r="B8">
        <v>49</v>
      </c>
      <c r="C8" s="1">
        <f t="shared" si="0"/>
        <v>7.72</v>
      </c>
      <c r="D8" t="s">
        <v>38</v>
      </c>
      <c r="E8" t="s">
        <v>11</v>
      </c>
      <c r="F8" t="s">
        <v>8</v>
      </c>
      <c r="G8">
        <v>378.28</v>
      </c>
      <c r="H8" t="s">
        <v>170</v>
      </c>
      <c r="I8">
        <f>B8/2</f>
        <v>24.5</v>
      </c>
      <c r="J8" s="1">
        <f>C8</f>
        <v>7.72</v>
      </c>
      <c r="K8">
        <v>1</v>
      </c>
      <c r="L8" s="1"/>
    </row>
    <row r="9" spans="1:12" x14ac:dyDescent="0.2">
      <c r="A9" t="s">
        <v>17</v>
      </c>
      <c r="B9">
        <v>4</v>
      </c>
      <c r="C9" s="1">
        <f t="shared" si="0"/>
        <v>7.71</v>
      </c>
      <c r="D9" t="s">
        <v>219</v>
      </c>
      <c r="E9" t="s">
        <v>11</v>
      </c>
      <c r="F9" t="s">
        <v>8</v>
      </c>
      <c r="G9">
        <v>30.84</v>
      </c>
      <c r="L9" s="1"/>
    </row>
    <row r="10" spans="1:12" x14ac:dyDescent="0.2">
      <c r="A10" t="s">
        <v>10</v>
      </c>
      <c r="B10">
        <v>2</v>
      </c>
      <c r="C10" s="1">
        <f t="shared" si="0"/>
        <v>6.7</v>
      </c>
      <c r="D10" t="s">
        <v>291</v>
      </c>
      <c r="E10" t="s">
        <v>11</v>
      </c>
      <c r="F10" t="s">
        <v>8</v>
      </c>
      <c r="G10">
        <v>13.4</v>
      </c>
      <c r="H10" t="s">
        <v>170</v>
      </c>
      <c r="I10">
        <f>B10/2</f>
        <v>1</v>
      </c>
      <c r="J10" s="1">
        <f>16-C10*2</f>
        <v>2.5999999999999996</v>
      </c>
      <c r="K10">
        <f t="shared" ref="K10" si="3">I10</f>
        <v>1</v>
      </c>
      <c r="L10" s="1"/>
    </row>
    <row r="11" spans="1:12" x14ac:dyDescent="0.2">
      <c r="A11" t="s">
        <v>42</v>
      </c>
      <c r="B11">
        <v>4</v>
      </c>
      <c r="C11" s="1">
        <f t="shared" si="0"/>
        <v>6.7</v>
      </c>
      <c r="D11" t="s">
        <v>291</v>
      </c>
      <c r="E11" t="s">
        <v>11</v>
      </c>
      <c r="F11" t="s">
        <v>8</v>
      </c>
      <c r="G11">
        <v>26.8</v>
      </c>
      <c r="H11" t="s">
        <v>170</v>
      </c>
      <c r="I11">
        <f>B11/2</f>
        <v>2</v>
      </c>
      <c r="J11" s="1">
        <f>16-C11*2</f>
        <v>2.5999999999999996</v>
      </c>
      <c r="K11">
        <f t="shared" ref="K11" si="4">I11</f>
        <v>2</v>
      </c>
      <c r="L11" s="1"/>
    </row>
    <row r="12" spans="1:12" x14ac:dyDescent="0.2">
      <c r="A12" t="s">
        <v>18</v>
      </c>
      <c r="B12">
        <v>2</v>
      </c>
      <c r="C12" s="1">
        <f t="shared" si="0"/>
        <v>4.3</v>
      </c>
      <c r="D12" t="s">
        <v>220</v>
      </c>
      <c r="E12" t="s">
        <v>11</v>
      </c>
      <c r="F12" t="s">
        <v>8</v>
      </c>
      <c r="G12">
        <v>8.6</v>
      </c>
      <c r="L12" s="1"/>
    </row>
    <row r="13" spans="1:12" x14ac:dyDescent="0.2">
      <c r="A13" t="s">
        <v>21</v>
      </c>
      <c r="B13">
        <v>4</v>
      </c>
      <c r="C13" s="1">
        <f t="shared" si="0"/>
        <v>3.54</v>
      </c>
      <c r="D13" t="s">
        <v>280</v>
      </c>
      <c r="E13" t="s">
        <v>11</v>
      </c>
      <c r="F13" t="s">
        <v>8</v>
      </c>
      <c r="G13">
        <v>14.16</v>
      </c>
      <c r="L13" s="1"/>
    </row>
    <row r="14" spans="1:12" x14ac:dyDescent="0.2">
      <c r="A14" t="s">
        <v>39</v>
      </c>
      <c r="B14">
        <v>4</v>
      </c>
      <c r="C14" s="1">
        <f>(3*12+5+3/8)/12</f>
        <v>3.4479166666666665</v>
      </c>
      <c r="D14" t="s">
        <v>40</v>
      </c>
      <c r="E14" t="s">
        <v>11</v>
      </c>
      <c r="F14" t="s">
        <v>8</v>
      </c>
      <c r="G14">
        <f>C14*B14</f>
        <v>13.791666666666666</v>
      </c>
      <c r="H14" t="s">
        <v>170</v>
      </c>
      <c r="I14">
        <v>1</v>
      </c>
      <c r="J14" s="1">
        <f>16-C14*B14</f>
        <v>2.2083333333333339</v>
      </c>
      <c r="K14">
        <f t="shared" ref="K14" si="5">I14</f>
        <v>1</v>
      </c>
      <c r="L14" s="1"/>
    </row>
    <row r="15" spans="1:12" x14ac:dyDescent="0.2">
      <c r="B15">
        <v>2</v>
      </c>
      <c r="C15" s="1">
        <f>C14</f>
        <v>3.4479166666666665</v>
      </c>
      <c r="H15" t="s">
        <v>170</v>
      </c>
      <c r="I15">
        <v>1</v>
      </c>
      <c r="J15" s="1">
        <f>16-C15*B15</f>
        <v>9.1041666666666679</v>
      </c>
      <c r="K15">
        <f t="shared" ref="K15:K16" si="6">I15</f>
        <v>1</v>
      </c>
      <c r="L15" s="1"/>
    </row>
    <row r="16" spans="1:12" x14ac:dyDescent="0.2">
      <c r="A16" t="s">
        <v>290</v>
      </c>
      <c r="B16">
        <v>2</v>
      </c>
      <c r="C16" s="1">
        <f t="shared" ref="C16:C32" si="7">G16/B16</f>
        <v>3.42</v>
      </c>
      <c r="D16" t="s">
        <v>283</v>
      </c>
      <c r="E16" t="s">
        <v>11</v>
      </c>
      <c r="F16" t="s">
        <v>8</v>
      </c>
      <c r="G16">
        <v>6.84</v>
      </c>
      <c r="H16" t="s">
        <v>170</v>
      </c>
      <c r="I16">
        <v>1</v>
      </c>
      <c r="J16" s="1">
        <f>16-C16*B16</f>
        <v>9.16</v>
      </c>
      <c r="K16">
        <f t="shared" si="6"/>
        <v>1</v>
      </c>
      <c r="L16" s="1"/>
    </row>
    <row r="17" spans="1:12" x14ac:dyDescent="0.2">
      <c r="A17" t="s">
        <v>13</v>
      </c>
      <c r="B17">
        <v>1</v>
      </c>
      <c r="C17" s="1">
        <f t="shared" si="7"/>
        <v>3.17</v>
      </c>
      <c r="D17" t="s">
        <v>284</v>
      </c>
      <c r="E17" t="s">
        <v>11</v>
      </c>
      <c r="F17" t="s">
        <v>8</v>
      </c>
      <c r="G17">
        <v>3.17</v>
      </c>
      <c r="H17" t="s">
        <v>301</v>
      </c>
      <c r="I17">
        <v>1</v>
      </c>
      <c r="J17" s="1">
        <f>9.16-C17*B17</f>
        <v>5.99</v>
      </c>
      <c r="K17">
        <v>1</v>
      </c>
      <c r="L17" s="1"/>
    </row>
    <row r="18" spans="1:12" x14ac:dyDescent="0.2">
      <c r="A18" t="s">
        <v>20</v>
      </c>
      <c r="B18">
        <v>4</v>
      </c>
      <c r="C18" s="1">
        <f t="shared" si="7"/>
        <v>2.65</v>
      </c>
      <c r="D18" t="s">
        <v>279</v>
      </c>
      <c r="E18" t="s">
        <v>11</v>
      </c>
      <c r="F18" t="s">
        <v>8</v>
      </c>
      <c r="G18">
        <v>10.6</v>
      </c>
      <c r="L18" s="1"/>
    </row>
    <row r="19" spans="1:12" x14ac:dyDescent="0.2">
      <c r="A19" t="s">
        <v>293</v>
      </c>
      <c r="B19">
        <v>4</v>
      </c>
      <c r="C19" s="1">
        <f t="shared" si="7"/>
        <v>2.25</v>
      </c>
      <c r="D19" t="s">
        <v>41</v>
      </c>
      <c r="E19" t="s">
        <v>11</v>
      </c>
      <c r="F19" t="s">
        <v>8</v>
      </c>
      <c r="G19">
        <v>9</v>
      </c>
      <c r="H19" t="s">
        <v>297</v>
      </c>
      <c r="I19">
        <f>B19</f>
        <v>4</v>
      </c>
      <c r="L19" s="1"/>
    </row>
    <row r="20" spans="1:12" x14ac:dyDescent="0.2">
      <c r="A20" t="s">
        <v>43</v>
      </c>
      <c r="B20">
        <v>2</v>
      </c>
      <c r="C20" s="1">
        <f t="shared" si="7"/>
        <v>2</v>
      </c>
      <c r="D20" t="s">
        <v>44</v>
      </c>
      <c r="E20" t="s">
        <v>11</v>
      </c>
      <c r="F20" t="s">
        <v>8</v>
      </c>
      <c r="G20">
        <v>4</v>
      </c>
      <c r="H20" t="s">
        <v>298</v>
      </c>
      <c r="I20">
        <f>B20</f>
        <v>2</v>
      </c>
      <c r="L20" s="1"/>
    </row>
    <row r="21" spans="1:12" x14ac:dyDescent="0.2">
      <c r="A21" t="s">
        <v>19</v>
      </c>
      <c r="B21">
        <v>4</v>
      </c>
      <c r="C21" s="1">
        <f t="shared" si="7"/>
        <v>1.76</v>
      </c>
      <c r="D21" t="s">
        <v>278</v>
      </c>
      <c r="E21" t="s">
        <v>11</v>
      </c>
      <c r="F21" t="s">
        <v>8</v>
      </c>
      <c r="G21">
        <v>7.04</v>
      </c>
      <c r="L21" s="1"/>
    </row>
    <row r="22" spans="1:12" x14ac:dyDescent="0.2">
      <c r="A22" t="s">
        <v>221</v>
      </c>
      <c r="B22">
        <v>4</v>
      </c>
      <c r="C22" s="1">
        <f t="shared" si="7"/>
        <v>0.88</v>
      </c>
      <c r="D22" t="s">
        <v>281</v>
      </c>
      <c r="E22" t="s">
        <v>11</v>
      </c>
      <c r="F22" t="s">
        <v>8</v>
      </c>
      <c r="G22">
        <v>3.52</v>
      </c>
      <c r="L22" s="1"/>
    </row>
    <row r="23" spans="1:12" x14ac:dyDescent="0.2">
      <c r="A23" t="s">
        <v>31</v>
      </c>
      <c r="B23">
        <v>7</v>
      </c>
      <c r="C23" s="1">
        <f t="shared" si="7"/>
        <v>13.5</v>
      </c>
      <c r="D23" t="s">
        <v>267</v>
      </c>
      <c r="E23" t="s">
        <v>23</v>
      </c>
      <c r="F23" t="s">
        <v>8</v>
      </c>
      <c r="G23">
        <v>94.5</v>
      </c>
      <c r="L23" s="1"/>
    </row>
    <row r="24" spans="1:12" x14ac:dyDescent="0.2">
      <c r="A24" t="s">
        <v>218</v>
      </c>
      <c r="B24">
        <v>2</v>
      </c>
      <c r="C24" s="1">
        <f t="shared" si="7"/>
        <v>3.88</v>
      </c>
      <c r="D24" t="s">
        <v>22</v>
      </c>
      <c r="E24" t="s">
        <v>23</v>
      </c>
      <c r="F24" t="s">
        <v>8</v>
      </c>
      <c r="G24">
        <v>7.76</v>
      </c>
      <c r="L24" s="1"/>
    </row>
    <row r="25" spans="1:12" x14ac:dyDescent="0.2">
      <c r="A25" t="s">
        <v>271</v>
      </c>
      <c r="B25">
        <v>2</v>
      </c>
      <c r="C25" s="1">
        <f t="shared" si="7"/>
        <v>3.62</v>
      </c>
      <c r="D25" t="s">
        <v>272</v>
      </c>
      <c r="E25" t="s">
        <v>23</v>
      </c>
      <c r="F25" t="s">
        <v>8</v>
      </c>
      <c r="G25">
        <v>7.24</v>
      </c>
      <c r="L25" s="1"/>
    </row>
    <row r="26" spans="1:12" x14ac:dyDescent="0.2">
      <c r="A26" t="s">
        <v>268</v>
      </c>
      <c r="B26">
        <v>2</v>
      </c>
      <c r="C26" s="1">
        <f t="shared" si="7"/>
        <v>2.06</v>
      </c>
      <c r="D26" t="s">
        <v>269</v>
      </c>
      <c r="E26" t="s">
        <v>23</v>
      </c>
      <c r="F26" t="s">
        <v>8</v>
      </c>
      <c r="G26">
        <v>4.12</v>
      </c>
      <c r="L26" s="1"/>
    </row>
    <row r="27" spans="1:12" x14ac:dyDescent="0.2">
      <c r="A27" t="s">
        <v>33</v>
      </c>
      <c r="B27">
        <v>10</v>
      </c>
      <c r="C27" s="1">
        <f t="shared" si="7"/>
        <v>1.8800000000000001</v>
      </c>
      <c r="D27" t="s">
        <v>34</v>
      </c>
      <c r="E27" t="s">
        <v>23</v>
      </c>
      <c r="F27" t="s">
        <v>8</v>
      </c>
      <c r="G27">
        <v>18.8</v>
      </c>
      <c r="L27" s="1"/>
    </row>
    <row r="28" spans="1:12" x14ac:dyDescent="0.2">
      <c r="A28" t="s">
        <v>270</v>
      </c>
      <c r="B28">
        <v>2</v>
      </c>
      <c r="C28" s="1">
        <f t="shared" si="7"/>
        <v>1.81</v>
      </c>
      <c r="D28" t="s">
        <v>32</v>
      </c>
      <c r="E28" t="s">
        <v>23</v>
      </c>
      <c r="F28" t="s">
        <v>8</v>
      </c>
      <c r="G28">
        <v>3.62</v>
      </c>
      <c r="L28" s="1"/>
    </row>
    <row r="29" spans="1:12" x14ac:dyDescent="0.2">
      <c r="A29" t="s">
        <v>29</v>
      </c>
      <c r="B29">
        <v>16</v>
      </c>
      <c r="C29" s="1">
        <f t="shared" si="7"/>
        <v>8.625</v>
      </c>
      <c r="D29" t="s">
        <v>276</v>
      </c>
      <c r="E29" t="s">
        <v>294</v>
      </c>
      <c r="F29" t="s">
        <v>8</v>
      </c>
      <c r="G29">
        <v>138</v>
      </c>
      <c r="L29" s="1"/>
    </row>
    <row r="30" spans="1:12" x14ac:dyDescent="0.2">
      <c r="A30" t="s">
        <v>30</v>
      </c>
      <c r="B30">
        <v>1</v>
      </c>
      <c r="C30" s="1">
        <f t="shared" si="7"/>
        <v>14.25</v>
      </c>
      <c r="D30" t="s">
        <v>266</v>
      </c>
      <c r="E30" t="s">
        <v>7</v>
      </c>
      <c r="F30" t="s">
        <v>8</v>
      </c>
      <c r="G30">
        <v>14.25</v>
      </c>
      <c r="H30" t="s">
        <v>299</v>
      </c>
      <c r="I30">
        <v>1</v>
      </c>
      <c r="J30" s="1">
        <f>16-C30*B30</f>
        <v>1.75</v>
      </c>
      <c r="K30">
        <f t="shared" ref="K30" si="8">I30</f>
        <v>1</v>
      </c>
      <c r="L30" s="1"/>
    </row>
    <row r="31" spans="1:12" x14ac:dyDescent="0.2">
      <c r="A31" t="s">
        <v>289</v>
      </c>
      <c r="B31">
        <v>2</v>
      </c>
      <c r="C31" s="1">
        <f t="shared" si="7"/>
        <v>3.42</v>
      </c>
      <c r="D31" t="s">
        <v>283</v>
      </c>
      <c r="E31" t="s">
        <v>7</v>
      </c>
      <c r="F31" t="s">
        <v>8</v>
      </c>
      <c r="G31">
        <v>6.84</v>
      </c>
      <c r="H31" t="s">
        <v>299</v>
      </c>
      <c r="I31">
        <v>1</v>
      </c>
      <c r="J31" s="1">
        <f>16-C31*B31</f>
        <v>9.16</v>
      </c>
      <c r="K31">
        <f t="shared" ref="K31" si="9">I31</f>
        <v>1</v>
      </c>
      <c r="L31" s="1"/>
    </row>
    <row r="32" spans="1:12" x14ac:dyDescent="0.2">
      <c r="A32" t="s">
        <v>292</v>
      </c>
      <c r="B32">
        <v>4</v>
      </c>
      <c r="C32" s="1">
        <f t="shared" si="7"/>
        <v>2.25</v>
      </c>
      <c r="D32" t="s">
        <v>41</v>
      </c>
      <c r="E32" t="s">
        <v>7</v>
      </c>
      <c r="F32" t="s">
        <v>8</v>
      </c>
      <c r="G32">
        <v>9</v>
      </c>
      <c r="H32" t="s">
        <v>300</v>
      </c>
      <c r="I32">
        <v>1</v>
      </c>
      <c r="J32" s="1"/>
      <c r="L32" s="1"/>
    </row>
    <row r="33" spans="1:7" x14ac:dyDescent="0.2">
      <c r="A33" t="s">
        <v>317</v>
      </c>
      <c r="B33">
        <v>2</v>
      </c>
      <c r="C33" s="1">
        <f>14+(8+3/8)/12</f>
        <v>14.697916666666666</v>
      </c>
      <c r="D33" t="s">
        <v>318</v>
      </c>
      <c r="E33" t="s">
        <v>7</v>
      </c>
      <c r="F33" t="s">
        <v>320</v>
      </c>
      <c r="G33">
        <f>C33*B33</f>
        <v>29.395833333333332</v>
      </c>
    </row>
    <row r="34" spans="1:7" x14ac:dyDescent="0.2">
      <c r="A34" t="s">
        <v>319</v>
      </c>
      <c r="B34">
        <v>4</v>
      </c>
      <c r="C34" s="1">
        <f>8+(10+1/8)/12</f>
        <v>8.84375</v>
      </c>
      <c r="D34" t="s">
        <v>322</v>
      </c>
      <c r="E34" t="s">
        <v>321</v>
      </c>
      <c r="F34" t="s">
        <v>320</v>
      </c>
      <c r="G34">
        <f>C34*B34</f>
        <v>35.375</v>
      </c>
    </row>
    <row r="35" spans="1:7" x14ac:dyDescent="0.2">
      <c r="A35" t="s">
        <v>323</v>
      </c>
      <c r="B35">
        <v>8</v>
      </c>
      <c r="C35">
        <f>8+(5+7/8)/12</f>
        <v>8.4895833333333339</v>
      </c>
      <c r="D35" t="s">
        <v>324</v>
      </c>
      <c r="E35" t="s">
        <v>11</v>
      </c>
      <c r="F35" t="s">
        <v>320</v>
      </c>
      <c r="G35">
        <f>C35*B35</f>
        <v>67.916666666666671</v>
      </c>
    </row>
    <row r="36" spans="1:7" x14ac:dyDescent="0.2">
      <c r="A36" t="s">
        <v>325</v>
      </c>
      <c r="B36">
        <v>2</v>
      </c>
      <c r="C36">
        <f>7+(7/8)/12</f>
        <v>7.072916666666667</v>
      </c>
      <c r="D36" t="s">
        <v>326</v>
      </c>
      <c r="E36" t="s">
        <v>11</v>
      </c>
      <c r="F36" t="s">
        <v>320</v>
      </c>
      <c r="G36">
        <f t="shared" ref="G36:G40" si="10">C36*B36</f>
        <v>14.145833333333334</v>
      </c>
    </row>
    <row r="37" spans="1:7" x14ac:dyDescent="0.2">
      <c r="A37" t="s">
        <v>327</v>
      </c>
      <c r="B37">
        <v>1</v>
      </c>
      <c r="C37">
        <f>3+9/12</f>
        <v>3.75</v>
      </c>
      <c r="D37" t="s">
        <v>328</v>
      </c>
      <c r="E37" t="s">
        <v>11</v>
      </c>
      <c r="F37" t="s">
        <v>320</v>
      </c>
      <c r="G37">
        <f t="shared" si="10"/>
        <v>3.75</v>
      </c>
    </row>
    <row r="38" spans="1:7" x14ac:dyDescent="0.2">
      <c r="A38" t="s">
        <v>329</v>
      </c>
      <c r="B38">
        <v>2</v>
      </c>
      <c r="C38">
        <f>2</f>
        <v>2</v>
      </c>
      <c r="D38" t="s">
        <v>44</v>
      </c>
      <c r="E38" t="s">
        <v>11</v>
      </c>
      <c r="F38" t="s">
        <v>320</v>
      </c>
      <c r="G38">
        <f t="shared" si="10"/>
        <v>4</v>
      </c>
    </row>
    <row r="39" spans="1:7" x14ac:dyDescent="0.2">
      <c r="A39" t="s">
        <v>330</v>
      </c>
      <c r="B39">
        <v>4</v>
      </c>
      <c r="C39">
        <f>3+(3+1/2)/12</f>
        <v>3.2916666666666665</v>
      </c>
      <c r="D39" t="s">
        <v>331</v>
      </c>
      <c r="E39" t="s">
        <v>11</v>
      </c>
      <c r="F39" t="s">
        <v>320</v>
      </c>
      <c r="G39">
        <f t="shared" si="10"/>
        <v>13.166666666666666</v>
      </c>
    </row>
    <row r="40" spans="1:7" x14ac:dyDescent="0.2">
      <c r="A40" t="s">
        <v>332</v>
      </c>
      <c r="B40">
        <v>2</v>
      </c>
      <c r="C40">
        <f>2+7/12</f>
        <v>2.5833333333333335</v>
      </c>
      <c r="D40" t="s">
        <v>333</v>
      </c>
      <c r="E40" t="s">
        <v>334</v>
      </c>
      <c r="F40" t="s">
        <v>320</v>
      </c>
      <c r="G40">
        <f t="shared" si="10"/>
        <v>5.166666666666667</v>
      </c>
    </row>
  </sheetData>
  <autoFilter ref="A1:G35">
    <sortState ref="A2:I31">
      <sortCondition ref="E1:E35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1" max="1" width="5.83203125" bestFit="1" customWidth="1"/>
    <col min="2" max="2" width="4.5" bestFit="1" customWidth="1"/>
    <col min="3" max="3" width="25.1640625" bestFit="1" customWidth="1"/>
    <col min="8" max="8" width="13.33203125" bestFit="1" customWidth="1"/>
    <col min="11" max="11" width="18.1640625" bestFit="1" customWidth="1"/>
  </cols>
  <sheetData>
    <row r="1" spans="1:11" x14ac:dyDescent="0.2">
      <c r="A1" t="s">
        <v>0</v>
      </c>
      <c r="B1" t="s">
        <v>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151</v>
      </c>
      <c r="I1" t="s">
        <v>150</v>
      </c>
      <c r="J1" t="s">
        <v>168</v>
      </c>
      <c r="K1" t="s">
        <v>152</v>
      </c>
    </row>
    <row r="2" spans="1:11" x14ac:dyDescent="0.2">
      <c r="A2" t="s">
        <v>6</v>
      </c>
      <c r="B2">
        <v>8</v>
      </c>
      <c r="C2" t="s">
        <v>167</v>
      </c>
      <c r="D2" t="s">
        <v>169</v>
      </c>
      <c r="E2" t="s">
        <v>11</v>
      </c>
      <c r="F2" t="s">
        <v>8</v>
      </c>
      <c r="G2">
        <v>72.72</v>
      </c>
      <c r="H2" t="s">
        <v>170</v>
      </c>
      <c r="I2">
        <v>16</v>
      </c>
      <c r="J2" s="9">
        <f>견적!E9*'shelf cutlist'!I2</f>
        <v>128000</v>
      </c>
    </row>
    <row r="3" spans="1:11" x14ac:dyDescent="0.2">
      <c r="A3" t="s">
        <v>9</v>
      </c>
      <c r="B3">
        <v>10</v>
      </c>
      <c r="C3" t="s">
        <v>159</v>
      </c>
      <c r="D3" t="s">
        <v>160</v>
      </c>
      <c r="E3" t="s">
        <v>161</v>
      </c>
      <c r="F3" t="s">
        <v>25</v>
      </c>
      <c r="G3">
        <v>63.8</v>
      </c>
      <c r="H3" t="s">
        <v>46</v>
      </c>
      <c r="I3">
        <v>5</v>
      </c>
      <c r="J3" s="9">
        <f>견적!E3*I3</f>
        <v>65000</v>
      </c>
    </row>
    <row r="4" spans="1:11" x14ac:dyDescent="0.2">
      <c r="A4" t="s">
        <v>12</v>
      </c>
      <c r="B4">
        <v>20</v>
      </c>
      <c r="C4" t="s">
        <v>162</v>
      </c>
      <c r="D4" t="s">
        <v>163</v>
      </c>
      <c r="E4" t="s">
        <v>11</v>
      </c>
      <c r="F4" t="s">
        <v>8</v>
      </c>
      <c r="G4">
        <v>25</v>
      </c>
      <c r="H4" t="s">
        <v>6</v>
      </c>
    </row>
    <row r="5" spans="1:11" x14ac:dyDescent="0.2">
      <c r="A5" t="s">
        <v>14</v>
      </c>
      <c r="B5">
        <v>20</v>
      </c>
      <c r="C5" t="s">
        <v>164</v>
      </c>
      <c r="D5" t="s">
        <v>160</v>
      </c>
      <c r="E5" t="s">
        <v>11</v>
      </c>
      <c r="F5" t="s">
        <v>8</v>
      </c>
      <c r="G5">
        <v>127.6</v>
      </c>
      <c r="H5" t="s">
        <v>6</v>
      </c>
    </row>
    <row r="6" spans="1:11" x14ac:dyDescent="0.2">
      <c r="A6" t="s">
        <v>15</v>
      </c>
      <c r="B6">
        <v>18</v>
      </c>
      <c r="C6" t="s">
        <v>165</v>
      </c>
      <c r="D6" t="s">
        <v>166</v>
      </c>
      <c r="E6" t="s">
        <v>11</v>
      </c>
      <c r="F6" t="s">
        <v>8</v>
      </c>
      <c r="G6">
        <v>25.56</v>
      </c>
      <c r="H6" t="s">
        <v>6</v>
      </c>
    </row>
    <row r="7" spans="1:11" x14ac:dyDescent="0.2">
      <c r="J7" s="9">
        <f>SUM(J2:J6)</f>
        <v>193000</v>
      </c>
    </row>
  </sheetData>
  <autoFilter ref="A1:K6">
    <sortState ref="A2:J39">
      <sortCondition ref="A1:A39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"/>
      <selection pane="bottomLeft" sqref="A1:K1"/>
    </sheetView>
  </sheetViews>
  <sheetFormatPr baseColWidth="10" defaultRowHeight="16" x14ac:dyDescent="0.2"/>
  <cols>
    <col min="1" max="1" width="5.83203125" bestFit="1" customWidth="1"/>
    <col min="2" max="2" width="4.5" bestFit="1" customWidth="1"/>
    <col min="3" max="3" width="25.1640625" bestFit="1" customWidth="1"/>
    <col min="9" max="9" width="13.33203125" bestFit="1" customWidth="1"/>
    <col min="10" max="10" width="13.33203125" customWidth="1"/>
    <col min="11" max="11" width="18.1640625" bestFit="1" customWidth="1"/>
  </cols>
  <sheetData>
    <row r="1" spans="1:11" x14ac:dyDescent="0.2">
      <c r="A1" t="s">
        <v>0</v>
      </c>
      <c r="B1" t="s">
        <v>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151</v>
      </c>
      <c r="I1" t="s">
        <v>150</v>
      </c>
      <c r="J1" t="s">
        <v>168</v>
      </c>
      <c r="K1" t="s">
        <v>152</v>
      </c>
    </row>
    <row r="2" spans="1:11" x14ac:dyDescent="0.2">
      <c r="A2" t="s">
        <v>0</v>
      </c>
      <c r="B2" t="s">
        <v>171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1" x14ac:dyDescent="0.2">
      <c r="A3" t="s">
        <v>6</v>
      </c>
      <c r="B3">
        <v>4</v>
      </c>
      <c r="C3" t="s">
        <v>172</v>
      </c>
      <c r="D3" t="s">
        <v>173</v>
      </c>
      <c r="E3" t="s">
        <v>11</v>
      </c>
      <c r="F3" t="s">
        <v>8</v>
      </c>
      <c r="G3">
        <v>18</v>
      </c>
      <c r="H3" t="s">
        <v>16</v>
      </c>
    </row>
    <row r="4" spans="1:11" x14ac:dyDescent="0.2">
      <c r="A4" t="s">
        <v>9</v>
      </c>
      <c r="B4">
        <v>4</v>
      </c>
      <c r="C4" t="s">
        <v>174</v>
      </c>
      <c r="D4" t="s">
        <v>153</v>
      </c>
      <c r="E4" t="s">
        <v>11</v>
      </c>
      <c r="F4" t="s">
        <v>8</v>
      </c>
      <c r="G4">
        <v>7</v>
      </c>
      <c r="H4" t="s">
        <v>16</v>
      </c>
    </row>
    <row r="5" spans="1:11" x14ac:dyDescent="0.2">
      <c r="A5" t="s">
        <v>12</v>
      </c>
      <c r="B5">
        <v>2</v>
      </c>
      <c r="C5" t="s">
        <v>175</v>
      </c>
      <c r="D5" t="s">
        <v>176</v>
      </c>
      <c r="E5" t="s">
        <v>177</v>
      </c>
      <c r="F5" t="s">
        <v>11</v>
      </c>
      <c r="G5">
        <v>2.1</v>
      </c>
      <c r="H5" t="s">
        <v>16</v>
      </c>
    </row>
    <row r="6" spans="1:11" x14ac:dyDescent="0.2">
      <c r="A6" t="s">
        <v>14</v>
      </c>
      <c r="B6">
        <v>12</v>
      </c>
      <c r="C6" t="s">
        <v>178</v>
      </c>
      <c r="D6" t="s">
        <v>179</v>
      </c>
      <c r="E6" t="s">
        <v>11</v>
      </c>
      <c r="F6" t="s">
        <v>8</v>
      </c>
      <c r="G6">
        <v>144</v>
      </c>
      <c r="H6" t="s">
        <v>16</v>
      </c>
    </row>
    <row r="7" spans="1:11" x14ac:dyDescent="0.2">
      <c r="A7" t="s">
        <v>15</v>
      </c>
      <c r="B7">
        <v>1</v>
      </c>
      <c r="C7" t="s">
        <v>180</v>
      </c>
      <c r="D7" t="s">
        <v>181</v>
      </c>
      <c r="E7" t="s">
        <v>11</v>
      </c>
      <c r="F7" t="s">
        <v>8</v>
      </c>
      <c r="G7">
        <v>11.33</v>
      </c>
      <c r="H7" t="s">
        <v>16</v>
      </c>
    </row>
    <row r="8" spans="1:11" x14ac:dyDescent="0.2">
      <c r="A8" t="s">
        <v>16</v>
      </c>
      <c r="B8">
        <v>8</v>
      </c>
      <c r="C8" t="s">
        <v>167</v>
      </c>
      <c r="D8" t="s">
        <v>182</v>
      </c>
      <c r="E8" t="s">
        <v>11</v>
      </c>
      <c r="F8" t="s">
        <v>8</v>
      </c>
      <c r="H8" t="s">
        <v>47</v>
      </c>
      <c r="I8">
        <v>18</v>
      </c>
      <c r="J8" s="9">
        <f>I8*견적!E4</f>
        <v>117000</v>
      </c>
    </row>
  </sheetData>
  <autoFilter ref="A1:K8">
    <sortState ref="A2:J39">
      <sortCondition ref="A1:A39"/>
    </sortState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2"/>
    </sheetView>
  </sheetViews>
  <sheetFormatPr baseColWidth="10" defaultRowHeight="16" x14ac:dyDescent="0.2"/>
  <cols>
    <col min="1" max="1" width="16.5" bestFit="1" customWidth="1"/>
    <col min="2" max="2" width="8.1640625" bestFit="1" customWidth="1"/>
  </cols>
  <sheetData>
    <row r="2" spans="1:6" x14ac:dyDescent="0.2">
      <c r="A2" t="s">
        <v>1</v>
      </c>
      <c r="B2" t="s">
        <v>171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304</v>
      </c>
      <c r="B3">
        <v>4</v>
      </c>
      <c r="C3" t="s">
        <v>305</v>
      </c>
      <c r="D3" t="s">
        <v>306</v>
      </c>
      <c r="E3" t="s">
        <v>8</v>
      </c>
      <c r="F3">
        <v>5.92</v>
      </c>
    </row>
    <row r="4" spans="1:6" x14ac:dyDescent="0.2">
      <c r="A4" t="s">
        <v>307</v>
      </c>
      <c r="B4">
        <v>8</v>
      </c>
      <c r="C4" t="s">
        <v>308</v>
      </c>
      <c r="D4" t="s">
        <v>306</v>
      </c>
      <c r="E4" t="s">
        <v>8</v>
      </c>
      <c r="F4">
        <v>5.36</v>
      </c>
    </row>
    <row r="5" spans="1:6" x14ac:dyDescent="0.2">
      <c r="A5" t="s">
        <v>309</v>
      </c>
      <c r="B5">
        <v>10</v>
      </c>
      <c r="C5" t="s">
        <v>310</v>
      </c>
      <c r="D5" t="s">
        <v>11</v>
      </c>
      <c r="E5" t="s">
        <v>8</v>
      </c>
      <c r="F5">
        <v>30</v>
      </c>
    </row>
    <row r="6" spans="1:6" x14ac:dyDescent="0.2">
      <c r="A6" t="s">
        <v>311</v>
      </c>
      <c r="B6">
        <v>8</v>
      </c>
      <c r="C6" t="s">
        <v>312</v>
      </c>
      <c r="D6" t="s">
        <v>11</v>
      </c>
      <c r="E6" t="s">
        <v>8</v>
      </c>
      <c r="F6">
        <v>20</v>
      </c>
    </row>
    <row r="7" spans="1:6" x14ac:dyDescent="0.2">
      <c r="A7" t="s">
        <v>313</v>
      </c>
      <c r="B7">
        <v>4</v>
      </c>
      <c r="C7" t="s">
        <v>314</v>
      </c>
      <c r="D7" t="s">
        <v>11</v>
      </c>
      <c r="E7" t="s">
        <v>8</v>
      </c>
      <c r="F7">
        <v>5.32</v>
      </c>
    </row>
    <row r="8" spans="1:6" x14ac:dyDescent="0.2">
      <c r="F8">
        <f>SUM(F5:F7)</f>
        <v>55.32</v>
      </c>
    </row>
    <row r="9" spans="1:6" x14ac:dyDescent="0.2">
      <c r="F9">
        <f>F8/16</f>
        <v>3.4575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2" sqref="D12"/>
    </sheetView>
  </sheetViews>
  <sheetFormatPr baseColWidth="10" defaultRowHeight="16" x14ac:dyDescent="0.2"/>
  <cols>
    <col min="1" max="1" width="25.5" bestFit="1" customWidth="1"/>
    <col min="2" max="2" width="4.5" bestFit="1" customWidth="1"/>
  </cols>
  <sheetData>
    <row r="1" spans="1:9" x14ac:dyDescent="0.2">
      <c r="A1" t="s">
        <v>1</v>
      </c>
      <c r="B1" t="s">
        <v>45</v>
      </c>
      <c r="C1" t="s">
        <v>367</v>
      </c>
      <c r="D1" t="s">
        <v>2</v>
      </c>
      <c r="E1" t="s">
        <v>3</v>
      </c>
      <c r="F1" t="s">
        <v>4</v>
      </c>
      <c r="G1" t="s">
        <v>5</v>
      </c>
      <c r="H1" t="s">
        <v>375</v>
      </c>
      <c r="I1" t="s">
        <v>368</v>
      </c>
    </row>
    <row r="2" spans="1:9" x14ac:dyDescent="0.2">
      <c r="A2" t="s">
        <v>342</v>
      </c>
      <c r="B2">
        <v>8</v>
      </c>
      <c r="D2" t="s">
        <v>26</v>
      </c>
      <c r="E2" t="s">
        <v>11</v>
      </c>
      <c r="F2" t="s">
        <v>8</v>
      </c>
      <c r="G2">
        <v>64</v>
      </c>
      <c r="H2">
        <v>4</v>
      </c>
    </row>
    <row r="3" spans="1:9" hidden="1" x14ac:dyDescent="0.2">
      <c r="A3" t="s">
        <v>343</v>
      </c>
      <c r="B3">
        <v>10</v>
      </c>
      <c r="D3" t="s">
        <v>160</v>
      </c>
      <c r="E3" t="s">
        <v>161</v>
      </c>
      <c r="F3" t="s">
        <v>25</v>
      </c>
      <c r="G3">
        <v>63.8</v>
      </c>
    </row>
    <row r="4" spans="1:9" x14ac:dyDescent="0.2">
      <c r="A4" t="s">
        <v>344</v>
      </c>
      <c r="B4">
        <v>20</v>
      </c>
      <c r="C4">
        <f>1+3/12</f>
        <v>1.25</v>
      </c>
      <c r="D4" t="s">
        <v>365</v>
      </c>
      <c r="E4" t="s">
        <v>11</v>
      </c>
      <c r="F4" t="s">
        <v>8</v>
      </c>
      <c r="G4">
        <v>25</v>
      </c>
      <c r="I4">
        <v>2</v>
      </c>
    </row>
    <row r="5" spans="1:9" x14ac:dyDescent="0.2">
      <c r="A5" t="s">
        <v>345</v>
      </c>
      <c r="B5">
        <v>20</v>
      </c>
      <c r="C5">
        <f>6+(4+1/2)/12</f>
        <v>6.375</v>
      </c>
      <c r="D5" t="s">
        <v>160</v>
      </c>
      <c r="E5" t="s">
        <v>11</v>
      </c>
      <c r="F5" t="s">
        <v>8</v>
      </c>
      <c r="G5">
        <v>127.6</v>
      </c>
      <c r="H5">
        <v>10</v>
      </c>
    </row>
    <row r="6" spans="1:9" x14ac:dyDescent="0.2">
      <c r="A6" t="s">
        <v>346</v>
      </c>
      <c r="B6">
        <v>18</v>
      </c>
      <c r="D6" t="s">
        <v>366</v>
      </c>
      <c r="E6" t="s">
        <v>11</v>
      </c>
      <c r="F6" t="s">
        <v>8</v>
      </c>
      <c r="G6">
        <v>25.56</v>
      </c>
      <c r="I6">
        <v>2</v>
      </c>
    </row>
    <row r="7" spans="1:9" x14ac:dyDescent="0.2">
      <c r="A7" t="s">
        <v>347</v>
      </c>
      <c r="B7">
        <v>4</v>
      </c>
      <c r="C7">
        <f>4.5</f>
        <v>4.5</v>
      </c>
      <c r="D7" t="s">
        <v>173</v>
      </c>
      <c r="E7" t="s">
        <v>11</v>
      </c>
      <c r="F7" t="s">
        <v>8</v>
      </c>
      <c r="G7">
        <v>18</v>
      </c>
      <c r="I7">
        <v>2</v>
      </c>
    </row>
    <row r="8" spans="1:9" x14ac:dyDescent="0.2">
      <c r="A8" t="s">
        <v>348</v>
      </c>
      <c r="B8">
        <v>4</v>
      </c>
      <c r="D8" t="s">
        <v>153</v>
      </c>
      <c r="E8" t="s">
        <v>11</v>
      </c>
      <c r="F8" t="s">
        <v>8</v>
      </c>
      <c r="G8">
        <v>7</v>
      </c>
      <c r="H8">
        <v>1</v>
      </c>
    </row>
    <row r="9" spans="1:9" s="8" customFormat="1" x14ac:dyDescent="0.2">
      <c r="A9" s="8" t="s">
        <v>370</v>
      </c>
      <c r="B9" s="8">
        <v>2</v>
      </c>
      <c r="C9" s="8">
        <f>1+(4+3/8)/12</f>
        <v>1.3645833333333333</v>
      </c>
      <c r="D9" s="8" t="s">
        <v>369</v>
      </c>
      <c r="E9" s="8" t="s">
        <v>11</v>
      </c>
      <c r="F9" s="8" t="s">
        <v>8</v>
      </c>
      <c r="G9" s="8">
        <f>C9*B9</f>
        <v>2.7291666666666665</v>
      </c>
    </row>
    <row r="10" spans="1:9" x14ac:dyDescent="0.2">
      <c r="A10" t="s">
        <v>349</v>
      </c>
      <c r="B10">
        <v>12</v>
      </c>
      <c r="D10" t="s">
        <v>179</v>
      </c>
      <c r="E10" t="s">
        <v>11</v>
      </c>
      <c r="F10" t="s">
        <v>8</v>
      </c>
      <c r="G10">
        <v>144</v>
      </c>
      <c r="I10">
        <f>B10</f>
        <v>12</v>
      </c>
    </row>
    <row r="11" spans="1:9" s="8" customFormat="1" x14ac:dyDescent="0.2">
      <c r="A11" s="8" t="s">
        <v>372</v>
      </c>
      <c r="B11" s="8">
        <v>8</v>
      </c>
      <c r="C11" s="8">
        <f>2+(10+1/4)/12</f>
        <v>2.8541666666666665</v>
      </c>
      <c r="D11" s="8" t="s">
        <v>371</v>
      </c>
      <c r="E11" t="s">
        <v>11</v>
      </c>
      <c r="F11" s="8" t="s">
        <v>8</v>
      </c>
      <c r="G11" s="8">
        <f>C11*B11</f>
        <v>22.833333333333332</v>
      </c>
      <c r="I11" s="8">
        <v>2</v>
      </c>
    </row>
    <row r="12" spans="1:9" x14ac:dyDescent="0.2">
      <c r="A12" t="s">
        <v>350</v>
      </c>
      <c r="B12">
        <v>1</v>
      </c>
      <c r="D12" t="s">
        <v>181</v>
      </c>
      <c r="E12" t="s">
        <v>11</v>
      </c>
      <c r="F12" t="s">
        <v>8</v>
      </c>
      <c r="G12">
        <v>11.33</v>
      </c>
      <c r="I12">
        <f>B12</f>
        <v>1</v>
      </c>
    </row>
    <row r="13" spans="1:9" hidden="1" x14ac:dyDescent="0.2">
      <c r="A13" t="s">
        <v>351</v>
      </c>
      <c r="B13">
        <v>1</v>
      </c>
      <c r="D13" t="s">
        <v>26</v>
      </c>
      <c r="E13" t="s">
        <v>161</v>
      </c>
      <c r="F13" t="s">
        <v>25</v>
      </c>
      <c r="G13">
        <v>8</v>
      </c>
    </row>
    <row r="14" spans="1:9" hidden="1" x14ac:dyDescent="0.2">
      <c r="A14" t="s">
        <v>352</v>
      </c>
      <c r="B14">
        <v>1</v>
      </c>
      <c r="D14" t="s">
        <v>353</v>
      </c>
      <c r="E14" t="s">
        <v>161</v>
      </c>
      <c r="F14" t="s">
        <v>25</v>
      </c>
      <c r="G14">
        <v>3.26</v>
      </c>
    </row>
    <row r="15" spans="1:9" x14ac:dyDescent="0.2">
      <c r="A15" t="s">
        <v>354</v>
      </c>
      <c r="B15">
        <v>6</v>
      </c>
      <c r="C15">
        <f>2+(11+9/16)/12</f>
        <v>2.9635416666666665</v>
      </c>
      <c r="D15" t="s">
        <v>355</v>
      </c>
      <c r="E15" t="s">
        <v>11</v>
      </c>
      <c r="F15" t="s">
        <v>8</v>
      </c>
      <c r="G15">
        <v>17.760000000000002</v>
      </c>
      <c r="I15">
        <v>2.5</v>
      </c>
    </row>
    <row r="16" spans="1:9" x14ac:dyDescent="0.2">
      <c r="A16" t="s">
        <v>356</v>
      </c>
      <c r="B16">
        <v>2</v>
      </c>
      <c r="D16" t="s">
        <v>161</v>
      </c>
      <c r="E16" t="s">
        <v>11</v>
      </c>
      <c r="F16" t="s">
        <v>8</v>
      </c>
      <c r="G16">
        <v>3</v>
      </c>
    </row>
    <row r="17" spans="1:9" s="8" customFormat="1" x14ac:dyDescent="0.2">
      <c r="A17" s="8" t="s">
        <v>357</v>
      </c>
      <c r="B17" s="8">
        <v>2</v>
      </c>
      <c r="D17" s="8" t="s">
        <v>358</v>
      </c>
      <c r="E17" s="8" t="s">
        <v>11</v>
      </c>
      <c r="F17" t="s">
        <v>8</v>
      </c>
      <c r="G17" s="8">
        <v>22.02</v>
      </c>
      <c r="I17" s="8">
        <v>2</v>
      </c>
    </row>
    <row r="18" spans="1:9" x14ac:dyDescent="0.2">
      <c r="A18" t="s">
        <v>359</v>
      </c>
      <c r="B18">
        <v>2</v>
      </c>
      <c r="D18" t="s">
        <v>360</v>
      </c>
      <c r="E18" t="s">
        <v>11</v>
      </c>
      <c r="F18" t="s">
        <v>8</v>
      </c>
      <c r="G18">
        <v>23</v>
      </c>
      <c r="I18">
        <f>B18</f>
        <v>2</v>
      </c>
    </row>
    <row r="19" spans="1:9" s="8" customFormat="1" x14ac:dyDescent="0.2">
      <c r="A19" s="8" t="s">
        <v>361</v>
      </c>
      <c r="B19" s="8">
        <v>4</v>
      </c>
      <c r="D19" s="8" t="s">
        <v>153</v>
      </c>
      <c r="E19" s="8" t="s">
        <v>11</v>
      </c>
      <c r="F19" s="8" t="s">
        <v>8</v>
      </c>
      <c r="G19" s="8">
        <v>7</v>
      </c>
    </row>
    <row r="20" spans="1:9" hidden="1" x14ac:dyDescent="0.2">
      <c r="A20" t="s">
        <v>362</v>
      </c>
      <c r="B20">
        <v>1</v>
      </c>
      <c r="D20" t="s">
        <v>26</v>
      </c>
      <c r="E20" t="s">
        <v>44</v>
      </c>
      <c r="F20" t="s">
        <v>25</v>
      </c>
      <c r="G20">
        <v>8</v>
      </c>
    </row>
    <row r="21" spans="1:9" hidden="1" x14ac:dyDescent="0.2">
      <c r="A21" t="s">
        <v>363</v>
      </c>
      <c r="B21">
        <v>1</v>
      </c>
      <c r="D21" t="s">
        <v>364</v>
      </c>
      <c r="E21" t="s">
        <v>44</v>
      </c>
      <c r="F21" t="s">
        <v>25</v>
      </c>
      <c r="G21">
        <v>3.5</v>
      </c>
    </row>
    <row r="22" spans="1:9" x14ac:dyDescent="0.2">
      <c r="H22">
        <f>SUM(H2:H19)</f>
        <v>15</v>
      </c>
      <c r="I22">
        <f>SUM(I2:I19)</f>
        <v>27.5</v>
      </c>
    </row>
  </sheetData>
  <autoFilter ref="A1:I22">
    <sortState ref="A2:I22">
      <sortCondition ref="A1:A22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E11" sqref="E11"/>
    </sheetView>
  </sheetViews>
  <sheetFormatPr baseColWidth="10" defaultRowHeight="16" x14ac:dyDescent="0.2"/>
  <cols>
    <col min="1" max="1" width="32.33203125" bestFit="1" customWidth="1"/>
    <col min="2" max="2" width="9.1640625" bestFit="1" customWidth="1"/>
    <col min="3" max="4" width="7.1640625" bestFit="1" customWidth="1"/>
    <col min="5" max="5" width="7.33203125" bestFit="1" customWidth="1"/>
    <col min="6" max="6" width="8.1640625" customWidth="1"/>
    <col min="8" max="8" width="13.1640625" bestFit="1" customWidth="1"/>
    <col min="9" max="9" width="11.6640625" bestFit="1" customWidth="1"/>
  </cols>
  <sheetData>
    <row r="1" spans="1:14" x14ac:dyDescent="0.2">
      <c r="C1" t="s">
        <v>54</v>
      </c>
      <c r="D1" t="s">
        <v>55</v>
      </c>
      <c r="E1" t="s">
        <v>56</v>
      </c>
      <c r="F1" t="s">
        <v>67</v>
      </c>
      <c r="L1" t="s">
        <v>154</v>
      </c>
    </row>
    <row r="2" spans="1:14" x14ac:dyDescent="0.2">
      <c r="A2" t="s">
        <v>71</v>
      </c>
      <c r="C2">
        <v>14</v>
      </c>
      <c r="D2">
        <v>3</v>
      </c>
      <c r="E2">
        <f>(C2*12+D2)*0.025</f>
        <v>4.2750000000000004</v>
      </c>
      <c r="H2" t="s">
        <v>59</v>
      </c>
      <c r="I2">
        <v>12</v>
      </c>
      <c r="J2">
        <v>8</v>
      </c>
      <c r="L2" t="s">
        <v>54</v>
      </c>
      <c r="M2" t="s">
        <v>55</v>
      </c>
      <c r="N2" t="s">
        <v>56</v>
      </c>
    </row>
    <row r="3" spans="1:14" x14ac:dyDescent="0.2">
      <c r="A3" t="s">
        <v>70</v>
      </c>
      <c r="C3">
        <v>13</v>
      </c>
      <c r="D3">
        <v>9</v>
      </c>
      <c r="E3">
        <f>(C3*12+D3)*0.025</f>
        <v>4.125</v>
      </c>
      <c r="H3" t="s">
        <v>60</v>
      </c>
      <c r="I3" s="1">
        <f>ATAN(J2/I2)*180/PI()</f>
        <v>33.690067525979785</v>
      </c>
      <c r="L3">
        <v>14</v>
      </c>
      <c r="M3">
        <f>3+7/8</f>
        <v>3.875</v>
      </c>
      <c r="N3" s="1">
        <f t="shared" ref="N3:N9" si="0">(L3*12+M3)*0.025</f>
        <v>4.296875</v>
      </c>
    </row>
    <row r="4" spans="1:14" x14ac:dyDescent="0.2">
      <c r="A4" t="s">
        <v>69</v>
      </c>
      <c r="C4">
        <f>E4*3.28084</f>
        <v>8.6286091999999996</v>
      </c>
      <c r="E4" s="1">
        <v>2.63</v>
      </c>
      <c r="H4" t="s">
        <v>61</v>
      </c>
      <c r="I4">
        <f>SQRT(I2*I2+J2*J2)</f>
        <v>14.422205101855956</v>
      </c>
      <c r="L4">
        <v>8</v>
      </c>
      <c r="M4">
        <f>4+15/16</f>
        <v>4.9375</v>
      </c>
      <c r="N4" s="1">
        <f t="shared" si="0"/>
        <v>2.5234375</v>
      </c>
    </row>
    <row r="5" spans="1:14" x14ac:dyDescent="0.2">
      <c r="A5" t="s">
        <v>72</v>
      </c>
      <c r="C5" s="1">
        <f>$J$2*C2/2/$I$2</f>
        <v>4.666666666666667</v>
      </c>
      <c r="E5" s="1">
        <f>$J$2*E2/2/$I$2</f>
        <v>1.425</v>
      </c>
      <c r="I5" s="1">
        <f>90-I3</f>
        <v>56.309932474020215</v>
      </c>
      <c r="M5">
        <v>7.25</v>
      </c>
      <c r="N5" s="1">
        <f t="shared" si="0"/>
        <v>0.18125000000000002</v>
      </c>
    </row>
    <row r="6" spans="1:14" x14ac:dyDescent="0.2">
      <c r="A6" t="s">
        <v>73</v>
      </c>
      <c r="C6" s="1">
        <f>$I$4*C2/2/$I$2</f>
        <v>8.4129529760826411</v>
      </c>
      <c r="E6" s="1">
        <f>$I$4*E2/2/$I$2</f>
        <v>2.5689552837680925</v>
      </c>
      <c r="L6">
        <v>3</v>
      </c>
      <c r="M6">
        <v>1</v>
      </c>
      <c r="N6" s="22">
        <f t="shared" si="0"/>
        <v>0.92500000000000004</v>
      </c>
    </row>
    <row r="7" spans="1:14" x14ac:dyDescent="0.2">
      <c r="A7" t="s">
        <v>57</v>
      </c>
      <c r="C7">
        <v>13</v>
      </c>
      <c r="D7">
        <v>8</v>
      </c>
      <c r="E7" s="1">
        <f>(C7*12+D7)*0.025</f>
        <v>4.1000000000000005</v>
      </c>
      <c r="L7">
        <v>3</v>
      </c>
      <c r="M7">
        <v>11.5</v>
      </c>
      <c r="N7" s="22">
        <f t="shared" si="0"/>
        <v>1.1875</v>
      </c>
    </row>
    <row r="8" spans="1:14" x14ac:dyDescent="0.2">
      <c r="A8" t="s">
        <v>58</v>
      </c>
      <c r="C8">
        <v>13</v>
      </c>
      <c r="D8">
        <v>2</v>
      </c>
      <c r="E8" s="1">
        <f>(C8*12+D8)*0.025</f>
        <v>3.95</v>
      </c>
      <c r="M8">
        <f>3/4</f>
        <v>0.75</v>
      </c>
      <c r="N8" s="22">
        <f t="shared" si="0"/>
        <v>1.8750000000000003E-2</v>
      </c>
    </row>
    <row r="9" spans="1:14" x14ac:dyDescent="0.2">
      <c r="A9" t="s">
        <v>149</v>
      </c>
      <c r="E9" s="1">
        <f>E7*E8</f>
        <v>16.195000000000004</v>
      </c>
      <c r="F9" s="5">
        <f>E9*0.3025</f>
        <v>4.8989875000000014</v>
      </c>
      <c r="L9">
        <v>8</v>
      </c>
      <c r="M9">
        <f>10+1/8</f>
        <v>10.125</v>
      </c>
      <c r="N9" s="22">
        <f t="shared" si="0"/>
        <v>2.6531250000000002</v>
      </c>
    </row>
    <row r="10" spans="1:14" x14ac:dyDescent="0.2">
      <c r="A10" s="4" t="s">
        <v>66</v>
      </c>
      <c r="B10" s="4"/>
      <c r="C10" s="4">
        <f>C2*C3</f>
        <v>182</v>
      </c>
      <c r="D10" s="4"/>
      <c r="E10" s="3">
        <f>E2*E3</f>
        <v>17.634375000000002</v>
      </c>
      <c r="F10" s="5">
        <f>E10*0.3025</f>
        <v>5.3343984375000009</v>
      </c>
      <c r="G10" s="6"/>
      <c r="H10" s="4"/>
      <c r="I10" s="4"/>
      <c r="J10" s="4"/>
      <c r="K10" s="4"/>
      <c r="L10" s="4"/>
    </row>
    <row r="11" spans="1:14" x14ac:dyDescent="0.2">
      <c r="A11" s="4" t="s">
        <v>68</v>
      </c>
      <c r="B11" s="4"/>
      <c r="C11" s="6">
        <f>C6*C3*2</f>
        <v>218.73677737814867</v>
      </c>
      <c r="D11" s="4"/>
      <c r="E11" s="5">
        <f>E6*E3*2</f>
        <v>21.193881091086762</v>
      </c>
      <c r="F11" s="5">
        <f>E11*0.3025</f>
        <v>6.4111490300537453</v>
      </c>
      <c r="G11" s="4"/>
      <c r="H11" s="4"/>
      <c r="I11" s="4"/>
      <c r="J11" s="4"/>
      <c r="K11" s="4"/>
      <c r="L11" s="4"/>
    </row>
    <row r="12" spans="1:14" x14ac:dyDescent="0.2">
      <c r="A12" s="4" t="s">
        <v>65</v>
      </c>
      <c r="B12" s="4"/>
      <c r="C12" s="6">
        <f>C2*C4*2+C3*C4*2</f>
        <v>465.94489679999998</v>
      </c>
      <c r="D12" s="4"/>
      <c r="E12" s="5">
        <f>E2*E4*2+E3*E4*2</f>
        <v>44.183999999999997</v>
      </c>
      <c r="F12" s="5">
        <f>E12*0.3025</f>
        <v>13.365659999999998</v>
      </c>
      <c r="G12" s="6"/>
      <c r="H12" s="4"/>
      <c r="I12" s="4"/>
      <c r="J12" s="4"/>
      <c r="K12" s="4"/>
      <c r="L12" s="4"/>
    </row>
    <row r="13" spans="1:14" x14ac:dyDescent="0.2">
      <c r="A13" s="4" t="s">
        <v>74</v>
      </c>
      <c r="B13" s="4"/>
      <c r="C13" s="6">
        <f>C2*C5/2*2</f>
        <v>65.333333333333343</v>
      </c>
      <c r="D13" s="4"/>
      <c r="E13" s="6">
        <f>E2*E5/2*2</f>
        <v>6.0918750000000008</v>
      </c>
      <c r="F13" s="5">
        <f>E13*0.3025</f>
        <v>1.8427921875000002</v>
      </c>
      <c r="G13" s="4"/>
      <c r="H13" s="4"/>
      <c r="I13" s="4"/>
      <c r="J13" s="4"/>
      <c r="K13" s="4"/>
      <c r="L13" s="4"/>
    </row>
    <row r="14" spans="1:14" x14ac:dyDescent="0.2">
      <c r="A14" s="4" t="s">
        <v>109</v>
      </c>
      <c r="B14" s="4"/>
      <c r="C14" s="6">
        <f>E14*3.28084</f>
        <v>61.535435040000003</v>
      </c>
      <c r="D14" s="4"/>
      <c r="E14" s="4">
        <f>2.52*4+0.038*2+4.3*2</f>
        <v>18.756</v>
      </c>
      <c r="F14" s="5"/>
      <c r="G14" s="4"/>
      <c r="H14" s="4"/>
      <c r="I14" s="4"/>
      <c r="J14" s="4"/>
      <c r="K14" s="4"/>
      <c r="L14" s="4"/>
    </row>
    <row r="15" spans="1:14" x14ac:dyDescent="0.2">
      <c r="A15" s="4" t="s">
        <v>155</v>
      </c>
      <c r="B15" s="4"/>
      <c r="C15" s="6"/>
      <c r="D15" s="4"/>
      <c r="E15" s="6">
        <f>N5</f>
        <v>0.18125000000000002</v>
      </c>
      <c r="F15" s="5"/>
      <c r="G15" s="4"/>
      <c r="H15" s="4"/>
      <c r="I15" s="4"/>
      <c r="J15" s="4"/>
      <c r="K15" s="4"/>
      <c r="L15" s="4"/>
    </row>
    <row r="16" spans="1:14" x14ac:dyDescent="0.2">
      <c r="A16" s="4" t="s">
        <v>156</v>
      </c>
      <c r="B16" s="4"/>
      <c r="C16" s="6"/>
      <c r="D16" s="4"/>
      <c r="E16" s="6">
        <f>E15*E2*E3</f>
        <v>3.1962304687500005</v>
      </c>
      <c r="F16" s="5"/>
      <c r="G16" s="4"/>
      <c r="H16" s="4"/>
      <c r="I16" s="4"/>
      <c r="J16" s="4"/>
      <c r="K16" s="4"/>
      <c r="L16" s="4"/>
    </row>
    <row r="17" spans="1:12" x14ac:dyDescent="0.2">
      <c r="A17" s="4"/>
      <c r="B17" s="4"/>
      <c r="C17" s="6"/>
      <c r="D17" s="4"/>
      <c r="E17" s="6"/>
      <c r="F17" s="5"/>
      <c r="G17" s="4"/>
      <c r="H17" s="4"/>
      <c r="I17" s="4"/>
      <c r="J17" s="4"/>
      <c r="K17" s="4"/>
      <c r="L17" s="4"/>
    </row>
    <row r="18" spans="1:12" x14ac:dyDescent="0.2">
      <c r="A18" s="4"/>
      <c r="B18" s="4" t="s">
        <v>101</v>
      </c>
      <c r="C18" s="4" t="s">
        <v>49</v>
      </c>
      <c r="D18" s="4" t="s">
        <v>50</v>
      </c>
      <c r="E18" s="4" t="s">
        <v>51</v>
      </c>
      <c r="F18" s="4"/>
      <c r="G18" s="4"/>
      <c r="H18" s="4"/>
      <c r="I18" s="4"/>
      <c r="J18" s="4"/>
      <c r="K18" s="4"/>
      <c r="L18" s="4"/>
    </row>
    <row r="19" spans="1:12" x14ac:dyDescent="0.2">
      <c r="A19" s="4" t="s">
        <v>62</v>
      </c>
      <c r="B19" s="4">
        <f>1.5*50*0.8</f>
        <v>60</v>
      </c>
      <c r="C19" s="7">
        <f>(E13+E12)/B19</f>
        <v>0.83793125000000002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4" t="s">
        <v>63</v>
      </c>
      <c r="B20" s="4">
        <f>3.6*0.21*7/8</f>
        <v>0.66149999999999998</v>
      </c>
      <c r="C20" s="4">
        <f>(E12+E13)/(3.66*0.21*0.85)</f>
        <v>76.955618312898935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4" t="s">
        <v>64</v>
      </c>
      <c r="B21" s="4">
        <f>10*0.8</f>
        <v>8</v>
      </c>
      <c r="C21" s="4">
        <f>E11/B21</f>
        <v>2.6492351363858453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4" t="s">
        <v>100</v>
      </c>
      <c r="B22" s="4">
        <v>2.34</v>
      </c>
      <c r="C22" s="4">
        <f>E11/B22</f>
        <v>9.0572141414900695</v>
      </c>
      <c r="D22" s="4" t="s">
        <v>102</v>
      </c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 t="s">
        <v>89</v>
      </c>
      <c r="B23" s="4">
        <v>2</v>
      </c>
      <c r="C23" s="4">
        <f>E14/B23</f>
        <v>9.3780000000000001</v>
      </c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4" t="s">
        <v>145</v>
      </c>
      <c r="B24" s="4">
        <v>3.6</v>
      </c>
      <c r="C24" s="4">
        <f>E14/B24</f>
        <v>5.21</v>
      </c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4" t="s">
        <v>146</v>
      </c>
      <c r="B25" s="4">
        <v>12</v>
      </c>
      <c r="C25" s="4">
        <f>C14/B25</f>
        <v>5.1279529200000002</v>
      </c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4" t="s">
        <v>124</v>
      </c>
      <c r="B26" s="4">
        <v>1.62</v>
      </c>
      <c r="C26" s="4">
        <f>E11/B26</f>
        <v>13.082642648818988</v>
      </c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4" t="s">
        <v>158</v>
      </c>
      <c r="B27" s="4">
        <v>1</v>
      </c>
      <c r="C27" s="4">
        <f>E16/B27</f>
        <v>3.1962304687500005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4" t="s">
        <v>157</v>
      </c>
      <c r="B28" s="4">
        <v>7</v>
      </c>
      <c r="C28" s="4">
        <f>B28*E16</f>
        <v>22.373613281250002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4" t="s">
        <v>184</v>
      </c>
      <c r="B29" s="4">
        <v>40</v>
      </c>
      <c r="C29" s="4">
        <f>B29*E16</f>
        <v>127.84921875000002</v>
      </c>
      <c r="D29" s="4">
        <v>7500</v>
      </c>
      <c r="E29" s="4">
        <f>C29*D29</f>
        <v>958869.14062500012</v>
      </c>
      <c r="F29" s="4"/>
      <c r="G29" s="4"/>
      <c r="H29" s="4"/>
      <c r="I29" s="4"/>
      <c r="J29" s="4"/>
      <c r="K29" s="4"/>
      <c r="L29" s="4"/>
    </row>
    <row r="30" spans="1:12" x14ac:dyDescent="0.2">
      <c r="A30" s="4" t="s">
        <v>46</v>
      </c>
      <c r="B30" s="4">
        <v>32</v>
      </c>
      <c r="C30" s="4">
        <f>(C12+C13)/B30</f>
        <v>16.602444691666665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4" t="s">
        <v>209</v>
      </c>
      <c r="B31" s="4">
        <v>7.5</v>
      </c>
      <c r="C31" s="4">
        <f>B31*E10/25</f>
        <v>5.2903125000000015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4" t="s">
        <v>208</v>
      </c>
      <c r="B32" s="4">
        <f>B31*3/5</f>
        <v>4.5</v>
      </c>
      <c r="C32" s="4">
        <f>B32*E11/25</f>
        <v>3.8148985963956168</v>
      </c>
      <c r="D32" s="4"/>
      <c r="E32" s="4"/>
      <c r="F32" s="4"/>
      <c r="G32" s="4"/>
      <c r="H32" s="4"/>
      <c r="I32" s="4"/>
      <c r="J32" s="4"/>
      <c r="K32" s="4"/>
      <c r="L32" s="4"/>
    </row>
    <row r="33" spans="1:6" x14ac:dyDescent="0.2">
      <c r="A33" s="4" t="s">
        <v>210</v>
      </c>
      <c r="B33" s="4">
        <v>0.2</v>
      </c>
      <c r="C33">
        <f>B33*E10*2</f>
        <v>7.0537500000000009</v>
      </c>
    </row>
    <row r="34" spans="1:6" x14ac:dyDescent="0.2">
      <c r="B34">
        <f>7*2+6*2.5</f>
        <v>29</v>
      </c>
    </row>
    <row r="35" spans="1:6" x14ac:dyDescent="0.2">
      <c r="A35" t="s">
        <v>315</v>
      </c>
      <c r="B35">
        <v>1.62</v>
      </c>
      <c r="C35">
        <f>E9/B35</f>
        <v>9.9969135802469147</v>
      </c>
      <c r="D35">
        <f>19800+2500+4000</f>
        <v>26300</v>
      </c>
      <c r="E35">
        <f>D35*C35</f>
        <v>262918.82716049388</v>
      </c>
      <c r="F35" t="s">
        <v>316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자재목록</vt:lpstr>
      <vt:lpstr>견적</vt:lpstr>
      <vt:lpstr>warehouse OSB</vt:lpstr>
      <vt:lpstr>warehouse timber</vt:lpstr>
      <vt:lpstr>shelf cutlist</vt:lpstr>
      <vt:lpstr>garden table cutlist</vt:lpstr>
      <vt:lpstr>horses cutlist</vt:lpstr>
      <vt:lpstr>JAS cutlist</vt:lpstr>
      <vt:lpstr>길이넓이부피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2015-10-16T05:00:08Z</cp:lastPrinted>
  <dcterms:created xsi:type="dcterms:W3CDTF">2015-10-08T07:39:56Z</dcterms:created>
  <dcterms:modified xsi:type="dcterms:W3CDTF">2016-01-15T07:04:00Z</dcterms:modified>
</cp:coreProperties>
</file>