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T:\06部門ファイル(お客様５年)\ＲＭ第一\03_個別案件\た行\と_東レG\2024_MS\現地調査_風水災_外部倉庫\15_202311_澁澤倉庫（株）_茨木営業所\05_報告書\"/>
    </mc:Choice>
  </mc:AlternateContent>
  <xr:revisionPtr revIDLastSave="0" documentId="13_ncr:1_{A05720CE-A25F-440F-ACB0-661DB25AECA2}" xr6:coauthVersionLast="47" xr6:coauthVersionMax="47" xr10:uidLastSave="{00000000-0000-0000-0000-000000000000}"/>
  <bookViews>
    <workbookView xWindow="-120" yWindow="-120" windowWidth="20730" windowHeight="11310" tabRatio="753" xr2:uid="{00000000-000D-0000-FFFF-FFFF00000000}"/>
  </bookViews>
  <sheets>
    <sheet name="報告書インポート" sheetId="11" r:id="rId1"/>
    <sheet name="②-1_ハザード評価・スコア集計用" sheetId="6" r:id="rId2"/>
    <sheet name="②-2_ハザード評価・スコア計算用" sheetId="2" r:id="rId3"/>
    <sheet name="③-1_フラジリティ評価・スコア集計用" sheetId="1" r:id="rId4"/>
    <sheet name="③-2_フラジリティ評価・スコア計算用" sheetId="4" r:id="rId5"/>
    <sheet name="選択肢リスト" sheetId="8" r:id="rId6"/>
    <sheet name="①-1_レポート用(サマリー)" sheetId="3" r:id="rId7"/>
    <sheet name="①-2_レポート用(ハザード)" sheetId="10" r:id="rId8"/>
    <sheet name="①-3_レポート用(フラジリティ)" sheetId="9" r:id="rId9"/>
  </sheets>
  <definedNames>
    <definedName name="_xlnm._FilterDatabase" localSheetId="4" hidden="1">'③-2_フラジリティ評価・スコア計算用'!$A$2:$AM$128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0" i="4" l="1"/>
  <c r="AQ28" i="4" l="1"/>
  <c r="AP28" i="4"/>
  <c r="AQ128" i="4"/>
  <c r="AP128" i="4"/>
  <c r="AQ126" i="4"/>
  <c r="AP126" i="4"/>
  <c r="AQ125" i="4"/>
  <c r="AP125" i="4"/>
  <c r="AQ124" i="4"/>
  <c r="AP124" i="4"/>
  <c r="AQ123" i="4"/>
  <c r="AP123" i="4"/>
  <c r="AQ120" i="4"/>
  <c r="AP120" i="4"/>
  <c r="AQ116" i="4"/>
  <c r="AP116" i="4"/>
  <c r="AQ112" i="4"/>
  <c r="AP112" i="4"/>
  <c r="AQ111" i="4"/>
  <c r="AP111" i="4"/>
  <c r="AQ109" i="4"/>
  <c r="AP109" i="4"/>
  <c r="AQ106" i="4"/>
  <c r="AP106" i="4"/>
  <c r="AQ105" i="4"/>
  <c r="AP105" i="4"/>
  <c r="AQ104" i="4"/>
  <c r="AP104" i="4"/>
  <c r="AQ101" i="4"/>
  <c r="AP101" i="4"/>
  <c r="AQ100" i="4"/>
  <c r="AP100" i="4"/>
  <c r="AQ99" i="4"/>
  <c r="AP99" i="4"/>
  <c r="AQ95" i="4"/>
  <c r="AP95" i="4"/>
  <c r="AQ94" i="4"/>
  <c r="AP94" i="4"/>
  <c r="AQ65" i="4"/>
  <c r="AP65" i="4"/>
  <c r="AQ64" i="4"/>
  <c r="AP64" i="4"/>
  <c r="AQ63" i="4"/>
  <c r="AP63" i="4"/>
  <c r="AQ61" i="4"/>
  <c r="AP61" i="4"/>
  <c r="AQ56" i="4"/>
  <c r="AP56" i="4"/>
  <c r="AQ55" i="4"/>
  <c r="AP55" i="4"/>
  <c r="AQ43" i="4"/>
  <c r="AP43" i="4"/>
  <c r="AQ38" i="4"/>
  <c r="AP38" i="4"/>
  <c r="AQ37" i="4"/>
  <c r="AP37" i="4"/>
  <c r="AQ36" i="4"/>
  <c r="AP36" i="4"/>
  <c r="AQ27" i="4"/>
  <c r="AP27" i="4"/>
  <c r="AQ17" i="4"/>
  <c r="AP17" i="4"/>
  <c r="AQ93" i="4"/>
  <c r="AP93" i="4"/>
  <c r="AQ89" i="4"/>
  <c r="AP89" i="4"/>
  <c r="AQ87" i="4"/>
  <c r="AP87" i="4"/>
  <c r="AQ85" i="4"/>
  <c r="AP85" i="4"/>
  <c r="AQ83" i="4"/>
  <c r="AP83" i="4"/>
  <c r="AQ79" i="4"/>
  <c r="AP79" i="4"/>
  <c r="AQ78" i="4"/>
  <c r="AP78" i="4"/>
  <c r="AQ77" i="4"/>
  <c r="AP77" i="4"/>
  <c r="AQ76" i="4"/>
  <c r="AP76" i="4"/>
  <c r="AQ75" i="4"/>
  <c r="AP75" i="4"/>
  <c r="AQ74" i="4"/>
  <c r="AP74" i="4"/>
  <c r="AQ62" i="4"/>
  <c r="AP62" i="4"/>
  <c r="AQ60" i="4"/>
  <c r="AP60" i="4"/>
  <c r="AQ51" i="4"/>
  <c r="AP51" i="4"/>
  <c r="AQ50" i="4"/>
  <c r="AP50" i="4"/>
  <c r="AQ49" i="4"/>
  <c r="AP49" i="4"/>
  <c r="AQ35" i="4"/>
  <c r="AP35" i="4"/>
  <c r="AQ34" i="4"/>
  <c r="AP34" i="4"/>
  <c r="AQ33" i="4"/>
  <c r="AP33" i="4"/>
  <c r="AQ32" i="4"/>
  <c r="AP32" i="4"/>
  <c r="AQ31" i="4"/>
  <c r="AP31" i="4"/>
  <c r="AQ30" i="4"/>
  <c r="AP30" i="4"/>
  <c r="AQ29" i="4"/>
  <c r="AP29" i="4"/>
  <c r="AQ26" i="4"/>
  <c r="AP26" i="4"/>
  <c r="AQ25" i="4"/>
  <c r="AP25" i="4"/>
  <c r="AQ24" i="4"/>
  <c r="AP24" i="4"/>
  <c r="AQ23" i="4"/>
  <c r="AP23" i="4"/>
  <c r="AQ22" i="4"/>
  <c r="AP22" i="4"/>
  <c r="AQ21" i="4"/>
  <c r="AP21" i="4"/>
  <c r="AQ20" i="4"/>
  <c r="AP20" i="4"/>
  <c r="AQ19" i="4"/>
  <c r="AP19" i="4"/>
  <c r="AQ18" i="4"/>
  <c r="AP18" i="4"/>
  <c r="AQ16" i="4"/>
  <c r="AP16" i="4"/>
  <c r="AQ15" i="4"/>
  <c r="AP15" i="4"/>
  <c r="AQ14" i="4"/>
  <c r="AP14" i="4"/>
  <c r="AI93" i="4"/>
  <c r="AH93" i="4"/>
  <c r="AI89" i="4"/>
  <c r="AH89" i="4"/>
  <c r="AI87" i="4"/>
  <c r="AH87" i="4"/>
  <c r="AI85" i="4"/>
  <c r="AH85" i="4"/>
  <c r="AI83" i="4"/>
  <c r="AH83" i="4"/>
  <c r="AI79" i="4"/>
  <c r="AH79" i="4"/>
  <c r="AI78" i="4"/>
  <c r="AH78" i="4"/>
  <c r="AI77" i="4"/>
  <c r="AH77" i="4"/>
  <c r="AI76" i="4"/>
  <c r="AH76" i="4"/>
  <c r="AI75" i="4"/>
  <c r="AH75" i="4"/>
  <c r="AI74" i="4"/>
  <c r="AH74" i="4"/>
  <c r="AI62" i="4"/>
  <c r="AH62" i="4"/>
  <c r="AI60" i="4"/>
  <c r="AH60" i="4"/>
  <c r="AI51" i="4"/>
  <c r="AH51" i="4"/>
  <c r="AI50" i="4"/>
  <c r="AH50" i="4"/>
  <c r="AI49" i="4"/>
  <c r="AH49" i="4"/>
  <c r="AI128" i="4"/>
  <c r="AH128" i="4"/>
  <c r="AI126" i="4"/>
  <c r="AH126" i="4"/>
  <c r="AI125" i="4"/>
  <c r="AH125" i="4"/>
  <c r="AI124" i="4"/>
  <c r="AH124" i="4"/>
  <c r="AI123" i="4"/>
  <c r="AH123" i="4"/>
  <c r="AI120" i="4"/>
  <c r="AH120" i="4"/>
  <c r="AI116" i="4"/>
  <c r="AH116" i="4"/>
  <c r="AI112" i="4"/>
  <c r="AH112" i="4"/>
  <c r="AI111" i="4"/>
  <c r="AH111" i="4"/>
  <c r="AI109" i="4"/>
  <c r="AH109" i="4"/>
  <c r="AI106" i="4"/>
  <c r="AH106" i="4"/>
  <c r="AI105" i="4"/>
  <c r="AH105" i="4"/>
  <c r="AI104" i="4"/>
  <c r="AH104" i="4"/>
  <c r="AI101" i="4"/>
  <c r="AH101" i="4"/>
  <c r="AI100" i="4"/>
  <c r="AH100" i="4"/>
  <c r="AI99" i="4"/>
  <c r="AH99" i="4"/>
  <c r="AI95" i="4"/>
  <c r="AH95" i="4"/>
  <c r="AI94" i="4"/>
  <c r="AH94" i="4"/>
  <c r="AI65" i="4"/>
  <c r="AH65" i="4"/>
  <c r="AI64" i="4"/>
  <c r="AH64" i="4"/>
  <c r="AI63" i="4"/>
  <c r="AH63" i="4"/>
  <c r="AI61" i="4"/>
  <c r="AH61" i="4"/>
  <c r="AI56" i="4"/>
  <c r="AH56" i="4"/>
  <c r="AI55" i="4"/>
  <c r="AH55" i="4"/>
  <c r="AI43" i="4"/>
  <c r="AH43" i="4"/>
  <c r="AI38" i="4"/>
  <c r="AH38" i="4"/>
  <c r="AI37" i="4"/>
  <c r="AH37" i="4"/>
  <c r="AI36" i="4"/>
  <c r="AH36" i="4"/>
  <c r="AI28" i="4"/>
  <c r="AH28" i="4"/>
  <c r="AI27" i="4"/>
  <c r="AH27" i="4"/>
  <c r="AI17" i="4"/>
  <c r="AH17" i="4"/>
  <c r="AI35" i="4"/>
  <c r="AH35" i="4"/>
  <c r="AI34" i="4"/>
  <c r="AH34" i="4"/>
  <c r="AI33" i="4"/>
  <c r="AH33" i="4"/>
  <c r="AI32" i="4"/>
  <c r="AH32" i="4"/>
  <c r="AI31" i="4"/>
  <c r="AH31" i="4"/>
  <c r="AI30" i="4"/>
  <c r="AH30" i="4"/>
  <c r="AI29" i="4"/>
  <c r="AH29" i="4"/>
  <c r="AI26" i="4"/>
  <c r="AH26" i="4"/>
  <c r="AI25" i="4"/>
  <c r="AH25" i="4"/>
  <c r="AI24" i="4"/>
  <c r="AH24" i="4"/>
  <c r="AI23" i="4"/>
  <c r="AH23" i="4"/>
  <c r="AI22" i="4"/>
  <c r="AH22" i="4"/>
  <c r="AI21" i="4"/>
  <c r="AH21" i="4"/>
  <c r="AI20" i="4"/>
  <c r="AH20" i="4"/>
  <c r="AI19" i="4"/>
  <c r="AH19" i="4"/>
  <c r="AI18" i="4"/>
  <c r="AH18" i="4"/>
  <c r="AI16" i="4"/>
  <c r="AH16" i="4"/>
  <c r="AI15" i="4"/>
  <c r="AH15" i="4"/>
  <c r="AI14" i="4"/>
  <c r="AH14" i="4"/>
  <c r="R45" i="2" l="1"/>
  <c r="I7" i="6" s="1"/>
  <c r="I29" i="6" s="1"/>
  <c r="Q45" i="2"/>
  <c r="AM77" i="4"/>
  <c r="AL77" i="4"/>
  <c r="AK77" i="4"/>
  <c r="AJ77" i="4"/>
  <c r="R77" i="4"/>
  <c r="L77" i="4"/>
  <c r="AE77" i="4" s="1"/>
  <c r="Q8" i="1"/>
  <c r="Q7" i="1"/>
  <c r="Q6" i="1"/>
  <c r="Q5" i="1"/>
  <c r="R45" i="4"/>
  <c r="K45" i="4"/>
  <c r="L45" i="4" s="1"/>
  <c r="AE45" i="4" s="1"/>
  <c r="R44" i="4"/>
  <c r="K44" i="4"/>
  <c r="L44" i="4" s="1"/>
  <c r="AM62" i="4"/>
  <c r="AL62" i="4"/>
  <c r="AK62" i="4"/>
  <c r="AJ62" i="4"/>
  <c r="R62" i="4"/>
  <c r="L62" i="4"/>
  <c r="AE62" i="4" s="1"/>
  <c r="AM65" i="4"/>
  <c r="AL65" i="4"/>
  <c r="AK65" i="4"/>
  <c r="AJ65" i="4"/>
  <c r="R65" i="4"/>
  <c r="L65" i="4"/>
  <c r="AE65" i="4" s="1"/>
  <c r="AM64" i="4"/>
  <c r="AL64" i="4"/>
  <c r="AK64" i="4"/>
  <c r="AJ64" i="4"/>
  <c r="R64" i="4"/>
  <c r="L64" i="4"/>
  <c r="AE64" i="4" s="1"/>
  <c r="AM63" i="4"/>
  <c r="AL63" i="4"/>
  <c r="AK63" i="4"/>
  <c r="AJ63" i="4"/>
  <c r="R63" i="4"/>
  <c r="L63" i="4"/>
  <c r="AE63" i="4" s="1"/>
  <c r="AM116" i="4"/>
  <c r="AL116" i="4"/>
  <c r="AK116" i="4"/>
  <c r="AJ116" i="4"/>
  <c r="R116" i="4"/>
  <c r="L116" i="4"/>
  <c r="AE116" i="4" s="1"/>
  <c r="R115" i="4"/>
  <c r="K115" i="4"/>
  <c r="L115" i="4" s="1"/>
  <c r="AE115" i="4" s="1"/>
  <c r="AM61" i="4"/>
  <c r="AL61" i="4"/>
  <c r="AK61" i="4"/>
  <c r="AJ61" i="4"/>
  <c r="R61" i="4"/>
  <c r="L61" i="4"/>
  <c r="AE61" i="4" s="1"/>
  <c r="AM60" i="4"/>
  <c r="AL60" i="4"/>
  <c r="AK60" i="4"/>
  <c r="AJ60" i="4"/>
  <c r="R60" i="4"/>
  <c r="L60" i="4"/>
  <c r="AE60" i="4" s="1"/>
  <c r="R59" i="4"/>
  <c r="K59" i="4"/>
  <c r="L59" i="4" s="1"/>
  <c r="AE59" i="4" s="1"/>
  <c r="R58" i="4"/>
  <c r="K58" i="4"/>
  <c r="L58" i="4" s="1"/>
  <c r="AD58" i="4" s="1"/>
  <c r="R57" i="4"/>
  <c r="K57" i="4"/>
  <c r="L57" i="4" s="1"/>
  <c r="AD57" i="4" s="1"/>
  <c r="X77" i="4" l="1"/>
  <c r="Z77" i="4"/>
  <c r="AB77" i="4"/>
  <c r="AD77" i="4"/>
  <c r="Y77" i="4"/>
  <c r="AA77" i="4"/>
  <c r="AC77" i="4"/>
  <c r="AD44" i="4"/>
  <c r="AB44" i="4"/>
  <c r="Z44" i="4"/>
  <c r="X44" i="4"/>
  <c r="AE44" i="4"/>
  <c r="AC44" i="4"/>
  <c r="AA44" i="4"/>
  <c r="Y44" i="4"/>
  <c r="X45" i="4"/>
  <c r="Z45" i="4"/>
  <c r="AB45" i="4"/>
  <c r="AD45" i="4"/>
  <c r="Y45" i="4"/>
  <c r="AA45" i="4"/>
  <c r="AC45" i="4"/>
  <c r="X62" i="4"/>
  <c r="Z62" i="4"/>
  <c r="AB62" i="4"/>
  <c r="AD62" i="4"/>
  <c r="Y62" i="4"/>
  <c r="AA62" i="4"/>
  <c r="AC62" i="4"/>
  <c r="X63" i="4"/>
  <c r="Z63" i="4"/>
  <c r="AB63" i="4"/>
  <c r="AD63" i="4"/>
  <c r="X64" i="4"/>
  <c r="Z64" i="4"/>
  <c r="AB64" i="4"/>
  <c r="AD64" i="4"/>
  <c r="X65" i="4"/>
  <c r="Z65" i="4"/>
  <c r="AB65" i="4"/>
  <c r="AD65" i="4"/>
  <c r="Y63" i="4"/>
  <c r="AA63" i="4"/>
  <c r="AC63" i="4"/>
  <c r="Y64" i="4"/>
  <c r="AA64" i="4"/>
  <c r="AC64" i="4"/>
  <c r="Y65" i="4"/>
  <c r="AA65" i="4"/>
  <c r="AC65" i="4"/>
  <c r="X115" i="4"/>
  <c r="Z115" i="4"/>
  <c r="AB115" i="4"/>
  <c r="AD115" i="4"/>
  <c r="X116" i="4"/>
  <c r="Z116" i="4"/>
  <c r="AB116" i="4"/>
  <c r="AD116" i="4"/>
  <c r="Y115" i="4"/>
  <c r="AA115" i="4"/>
  <c r="AC115" i="4"/>
  <c r="Y116" i="4"/>
  <c r="AA116" i="4"/>
  <c r="AC116" i="4"/>
  <c r="X60" i="4"/>
  <c r="Z60" i="4"/>
  <c r="AB60" i="4"/>
  <c r="AD60" i="4"/>
  <c r="X61" i="4"/>
  <c r="Z61" i="4"/>
  <c r="AB61" i="4"/>
  <c r="AD61" i="4"/>
  <c r="Y60" i="4"/>
  <c r="AA60" i="4"/>
  <c r="AC60" i="4"/>
  <c r="Y61" i="4"/>
  <c r="AA61" i="4"/>
  <c r="AC61" i="4"/>
  <c r="Y57" i="4"/>
  <c r="AA57" i="4"/>
  <c r="AC57" i="4"/>
  <c r="AE57" i="4"/>
  <c r="Y58" i="4"/>
  <c r="AA58" i="4"/>
  <c r="AC58" i="4"/>
  <c r="AE58" i="4"/>
  <c r="X59" i="4"/>
  <c r="Z59" i="4"/>
  <c r="AB59" i="4"/>
  <c r="AD59" i="4"/>
  <c r="Z57" i="4"/>
  <c r="AB57" i="4"/>
  <c r="Z58" i="4"/>
  <c r="AB58" i="4"/>
  <c r="Y59" i="4"/>
  <c r="AA59" i="4"/>
  <c r="AC59" i="4"/>
  <c r="G49" i="1" l="1"/>
  <c r="G48" i="1"/>
  <c r="AQ97" i="4" l="1"/>
  <c r="L62" i="1" s="1"/>
  <c r="AP97" i="4"/>
  <c r="L61" i="1" s="1"/>
  <c r="AQ82" i="4"/>
  <c r="K62" i="1" s="1"/>
  <c r="AP82" i="4"/>
  <c r="K61" i="1" s="1"/>
  <c r="AQ47" i="4"/>
  <c r="I62" i="1" s="1"/>
  <c r="AQ67" i="4"/>
  <c r="J62" i="1" s="1"/>
  <c r="AP67" i="4"/>
  <c r="AQ4" i="4"/>
  <c r="H62" i="1" s="1"/>
  <c r="AP4" i="4"/>
  <c r="H61" i="1" s="1"/>
  <c r="AI114" i="4"/>
  <c r="AH114" i="4"/>
  <c r="AH82" i="4"/>
  <c r="L88" i="4"/>
  <c r="L86" i="4"/>
  <c r="L84" i="4"/>
  <c r="L52" i="4"/>
  <c r="AP114" i="4" l="1"/>
  <c r="M61" i="1" s="1"/>
  <c r="AQ114" i="4"/>
  <c r="M62" i="1" s="1"/>
  <c r="AP47" i="4"/>
  <c r="R128" i="4"/>
  <c r="R127" i="4"/>
  <c r="R126" i="4"/>
  <c r="R125" i="4"/>
  <c r="R124" i="4"/>
  <c r="R123" i="4"/>
  <c r="R122" i="4"/>
  <c r="R121" i="4"/>
  <c r="R120" i="4"/>
  <c r="R119" i="4"/>
  <c r="R118" i="4"/>
  <c r="R117" i="4"/>
  <c r="R113" i="4"/>
  <c r="R112" i="4"/>
  <c r="R111" i="4"/>
  <c r="R110" i="4"/>
  <c r="R109" i="4"/>
  <c r="R108" i="4"/>
  <c r="R107" i="4"/>
  <c r="R106" i="4"/>
  <c r="R105" i="4"/>
  <c r="R104" i="4"/>
  <c r="R103" i="4"/>
  <c r="R102" i="4"/>
  <c r="R101" i="4"/>
  <c r="R100" i="4"/>
  <c r="R99" i="4"/>
  <c r="R98" i="4"/>
  <c r="R96" i="4"/>
  <c r="R95" i="4"/>
  <c r="R94" i="4"/>
  <c r="R93" i="4"/>
  <c r="R92" i="4"/>
  <c r="R91" i="4"/>
  <c r="R90" i="4"/>
  <c r="R89" i="4"/>
  <c r="R88" i="4"/>
  <c r="R87" i="4"/>
  <c r="R86" i="4"/>
  <c r="R85" i="4"/>
  <c r="R84" i="4"/>
  <c r="R83" i="4"/>
  <c r="R66" i="4"/>
  <c r="R56" i="4"/>
  <c r="R55" i="4"/>
  <c r="R54" i="4"/>
  <c r="R53" i="4"/>
  <c r="R52" i="4"/>
  <c r="R51" i="4"/>
  <c r="R50" i="4"/>
  <c r="R49" i="4"/>
  <c r="R48" i="4"/>
  <c r="R81" i="4"/>
  <c r="R80" i="4"/>
  <c r="R79" i="4"/>
  <c r="R78" i="4"/>
  <c r="R76" i="4"/>
  <c r="R75" i="4"/>
  <c r="R74" i="4"/>
  <c r="R73" i="4"/>
  <c r="R72" i="4"/>
  <c r="R71" i="4"/>
  <c r="R70" i="4"/>
  <c r="R69" i="4"/>
  <c r="R68" i="4"/>
  <c r="R46"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G37" i="10"/>
  <c r="F37" i="10"/>
  <c r="E37" i="10"/>
  <c r="C73" i="10"/>
  <c r="G73" i="10"/>
  <c r="F73" i="10"/>
  <c r="E73" i="10"/>
  <c r="D73" i="10"/>
  <c r="G68" i="10"/>
  <c r="F68" i="10"/>
  <c r="E68" i="10"/>
  <c r="C68" i="10"/>
  <c r="D68" i="10"/>
  <c r="C63" i="10"/>
  <c r="G63" i="10"/>
  <c r="F63" i="10"/>
  <c r="E63" i="10"/>
  <c r="D63" i="10"/>
  <c r="C54" i="10"/>
  <c r="C49" i="10"/>
  <c r="C20" i="10"/>
  <c r="F43" i="10"/>
  <c r="E43" i="10"/>
  <c r="D43" i="10"/>
  <c r="C43" i="10"/>
  <c r="D37" i="10"/>
  <c r="C37" i="10"/>
  <c r="F32" i="10"/>
  <c r="E32" i="10"/>
  <c r="D32" i="10"/>
  <c r="C32" i="10"/>
  <c r="C28" i="10"/>
  <c r="K26" i="6"/>
  <c r="K15" i="6"/>
  <c r="R18" i="2"/>
  <c r="M4" i="2"/>
  <c r="F6" i="10"/>
  <c r="F7" i="10" s="1"/>
  <c r="E6" i="10"/>
  <c r="E7" i="10" s="1"/>
  <c r="D6" i="10"/>
  <c r="D7" i="10" s="1"/>
  <c r="C6" i="10"/>
  <c r="C7" i="10" s="1"/>
  <c r="C8" i="10" l="1"/>
  <c r="C9" i="10" s="1"/>
  <c r="D8" i="10"/>
  <c r="F8" i="10"/>
  <c r="E8" i="10"/>
  <c r="N6" i="3"/>
  <c r="K28" i="6"/>
  <c r="F28" i="6" s="1"/>
  <c r="K4" i="6"/>
  <c r="C10" i="10" l="1"/>
  <c r="C11" i="10" s="1"/>
  <c r="F9" i="10"/>
  <c r="E9" i="10"/>
  <c r="E10" i="10" s="1"/>
  <c r="D9" i="10"/>
  <c r="D10" i="10" s="1"/>
  <c r="F33" i="6"/>
  <c r="F32" i="6"/>
  <c r="F31" i="6"/>
  <c r="F30" i="6"/>
  <c r="F27" i="6"/>
  <c r="F26" i="6"/>
  <c r="F22" i="6"/>
  <c r="F21" i="6"/>
  <c r="F20" i="6"/>
  <c r="F19" i="6"/>
  <c r="F17" i="6"/>
  <c r="F16" i="6"/>
  <c r="F15" i="6"/>
  <c r="F11" i="6"/>
  <c r="E11" i="6"/>
  <c r="D11" i="6" s="1"/>
  <c r="F10" i="6"/>
  <c r="F9" i="6"/>
  <c r="E9" i="6" s="1"/>
  <c r="D9" i="6" s="1"/>
  <c r="F8" i="6"/>
  <c r="R57" i="2"/>
  <c r="P7" i="6" s="1"/>
  <c r="P29" i="6" s="1"/>
  <c r="R55" i="2"/>
  <c r="O7" i="6" s="1"/>
  <c r="O29" i="6" s="1"/>
  <c r="Q55" i="2"/>
  <c r="R54" i="2"/>
  <c r="N7" i="6" s="1"/>
  <c r="N29" i="6" s="1"/>
  <c r="Q54" i="2"/>
  <c r="R51" i="2"/>
  <c r="M7" i="6" s="1"/>
  <c r="M29" i="6" s="1"/>
  <c r="Q51" i="2"/>
  <c r="R50" i="2"/>
  <c r="L7" i="6" s="1"/>
  <c r="L29" i="6" s="1"/>
  <c r="Q50" i="2"/>
  <c r="R48" i="2"/>
  <c r="K7" i="6" s="1"/>
  <c r="K29" i="6" s="1"/>
  <c r="Q48" i="2"/>
  <c r="R46" i="2"/>
  <c r="J7" i="6" s="1"/>
  <c r="J29" i="6" s="1"/>
  <c r="Q46" i="2"/>
  <c r="R44" i="2"/>
  <c r="H7" i="6" s="1"/>
  <c r="H29" i="6" s="1"/>
  <c r="Q44" i="2"/>
  <c r="R43" i="2"/>
  <c r="G7" i="6" s="1"/>
  <c r="G29" i="6" s="1"/>
  <c r="Q43" i="2"/>
  <c r="R40" i="2"/>
  <c r="K6" i="6" s="1"/>
  <c r="P38" i="2"/>
  <c r="O38" i="2"/>
  <c r="N38" i="2"/>
  <c r="M38" i="2"/>
  <c r="P36" i="2"/>
  <c r="G57" i="10" s="1"/>
  <c r="O36" i="2"/>
  <c r="F57" i="10" s="1"/>
  <c r="N36" i="2"/>
  <c r="E57" i="10" s="1"/>
  <c r="M36" i="2"/>
  <c r="P34" i="2"/>
  <c r="G52" i="10" s="1"/>
  <c r="O34" i="2"/>
  <c r="F52" i="10" s="1"/>
  <c r="N34" i="2"/>
  <c r="E52" i="10" s="1"/>
  <c r="M34" i="2"/>
  <c r="D52" i="10" s="1"/>
  <c r="P31" i="2"/>
  <c r="F44" i="10" s="1"/>
  <c r="O31" i="2"/>
  <c r="E44" i="10" s="1"/>
  <c r="N31" i="2"/>
  <c r="D44" i="10" s="1"/>
  <c r="M31" i="2"/>
  <c r="C44" i="10" s="1"/>
  <c r="P29" i="2"/>
  <c r="O29" i="2"/>
  <c r="N29" i="2"/>
  <c r="M29" i="2"/>
  <c r="S27" i="2" s="1"/>
  <c r="P27" i="2"/>
  <c r="O27" i="2"/>
  <c r="N27" i="2"/>
  <c r="M27" i="2"/>
  <c r="C46" i="10" s="1"/>
  <c r="R21" i="2"/>
  <c r="G5" i="6" s="1"/>
  <c r="F5" i="6" s="1"/>
  <c r="E5" i="6" s="1"/>
  <c r="Q21" i="2"/>
  <c r="Q18" i="2"/>
  <c r="P14" i="2"/>
  <c r="N14" i="2"/>
  <c r="E28" i="10" s="1"/>
  <c r="M14" i="2"/>
  <c r="P12" i="2"/>
  <c r="G23" i="10" s="1"/>
  <c r="O12" i="2"/>
  <c r="F23" i="10" s="1"/>
  <c r="N12" i="2"/>
  <c r="E23" i="10" s="1"/>
  <c r="M12" i="2"/>
  <c r="P10" i="2"/>
  <c r="G18" i="10" s="1"/>
  <c r="O10" i="2"/>
  <c r="F18" i="10" s="1"/>
  <c r="N10" i="2"/>
  <c r="E18" i="10" s="1"/>
  <c r="M10" i="2"/>
  <c r="D18" i="10" s="1"/>
  <c r="P7" i="2"/>
  <c r="O7" i="2"/>
  <c r="N7" i="2"/>
  <c r="M7" i="2"/>
  <c r="P6" i="2"/>
  <c r="O6" i="2"/>
  <c r="N6" i="2"/>
  <c r="M6" i="2"/>
  <c r="P5" i="2"/>
  <c r="O5" i="2"/>
  <c r="N5" i="2"/>
  <c r="M5" i="2"/>
  <c r="P4" i="2"/>
  <c r="O4" i="2"/>
  <c r="N4" i="2"/>
  <c r="F18" i="6" l="1"/>
  <c r="F29" i="6"/>
  <c r="E8" i="6"/>
  <c r="C8" i="6" s="1"/>
  <c r="E10" i="6"/>
  <c r="D8" i="6"/>
  <c r="D10" i="6"/>
  <c r="C10" i="6"/>
  <c r="S5" i="2"/>
  <c r="S6" i="2"/>
  <c r="L38" i="2"/>
  <c r="Q38" i="2" s="1"/>
  <c r="C9" i="6"/>
  <c r="C11" i="6"/>
  <c r="S4" i="2"/>
  <c r="L10" i="2"/>
  <c r="R10" i="2" s="1"/>
  <c r="H4" i="6" s="1"/>
  <c r="S28" i="2"/>
  <c r="D46" i="10"/>
  <c r="S30" i="2"/>
  <c r="F46" i="10"/>
  <c r="C45" i="10"/>
  <c r="E45" i="10"/>
  <c r="L34" i="2"/>
  <c r="R34" i="2" s="1"/>
  <c r="H6" i="6" s="1"/>
  <c r="S7" i="2"/>
  <c r="R3" i="2" s="1"/>
  <c r="G4" i="6" s="1"/>
  <c r="L12" i="2"/>
  <c r="C23" i="10" s="1"/>
  <c r="D23" i="10"/>
  <c r="Q14" i="2"/>
  <c r="D28" i="10"/>
  <c r="R14" i="2"/>
  <c r="J4" i="6" s="1"/>
  <c r="F28" i="10"/>
  <c r="S29" i="2"/>
  <c r="E46" i="10"/>
  <c r="D45" i="10"/>
  <c r="F45" i="10"/>
  <c r="L36" i="2"/>
  <c r="C57" i="10" s="1"/>
  <c r="D57" i="10"/>
  <c r="F7" i="6"/>
  <c r="E11" i="10"/>
  <c r="D11" i="10"/>
  <c r="F10" i="10"/>
  <c r="F11" i="10" s="1"/>
  <c r="C5" i="6"/>
  <c r="D5" i="6"/>
  <c r="K46" i="4"/>
  <c r="K67" i="4"/>
  <c r="K68" i="4"/>
  <c r="K69" i="4"/>
  <c r="K70" i="4"/>
  <c r="K71" i="4"/>
  <c r="K72" i="4"/>
  <c r="K73" i="4"/>
  <c r="K80" i="4"/>
  <c r="K81" i="4"/>
  <c r="K47" i="4"/>
  <c r="K48" i="4"/>
  <c r="K53" i="4"/>
  <c r="K54" i="4"/>
  <c r="K66" i="4"/>
  <c r="K82" i="4"/>
  <c r="K90" i="4"/>
  <c r="K91" i="4"/>
  <c r="K92" i="4"/>
  <c r="K96" i="4"/>
  <c r="K97" i="4"/>
  <c r="K98" i="4"/>
  <c r="K102" i="4"/>
  <c r="K103" i="4"/>
  <c r="K107" i="4"/>
  <c r="K108" i="4"/>
  <c r="K110" i="4"/>
  <c r="K113" i="4"/>
  <c r="K114" i="4"/>
  <c r="K117" i="4"/>
  <c r="K118" i="4"/>
  <c r="K119" i="4"/>
  <c r="K121" i="4"/>
  <c r="K122" i="4"/>
  <c r="K127" i="4"/>
  <c r="AI41" i="4" l="1"/>
  <c r="AH41" i="4"/>
  <c r="AI39" i="4"/>
  <c r="AH39" i="4"/>
  <c r="AI42" i="4"/>
  <c r="AH42" i="4"/>
  <c r="AI40" i="4"/>
  <c r="AH40" i="4"/>
  <c r="E7" i="6"/>
  <c r="A12" i="11" s="1"/>
  <c r="Q12" i="2"/>
  <c r="R38" i="2"/>
  <c r="J6" i="6" s="1"/>
  <c r="R36" i="2"/>
  <c r="I6" i="6" s="1"/>
  <c r="R12" i="2"/>
  <c r="I4" i="6" s="1"/>
  <c r="F4" i="6" s="1"/>
  <c r="E4" i="6" s="1"/>
  <c r="Q36" i="2"/>
  <c r="Q10" i="2"/>
  <c r="C18" i="10"/>
  <c r="Q34" i="2"/>
  <c r="C52" i="10"/>
  <c r="R26" i="2"/>
  <c r="G6" i="6" s="1"/>
  <c r="O49" i="1"/>
  <c r="S49" i="1" s="1"/>
  <c r="I38" i="1" s="1"/>
  <c r="O53" i="1"/>
  <c r="S53" i="1" s="1"/>
  <c r="I42" i="1" s="1"/>
  <c r="O48" i="1"/>
  <c r="V48" i="1" s="1"/>
  <c r="M37" i="1" s="1"/>
  <c r="N5" i="1"/>
  <c r="N16" i="1" s="1"/>
  <c r="N8" i="1"/>
  <c r="N19" i="1" s="1"/>
  <c r="N9" i="1"/>
  <c r="N20" i="1" s="1"/>
  <c r="N10" i="1"/>
  <c r="N21" i="1" s="1"/>
  <c r="N11" i="1"/>
  <c r="N22" i="1" s="1"/>
  <c r="N4" i="1"/>
  <c r="N15" i="1" s="1"/>
  <c r="G55" i="1"/>
  <c r="G54" i="1"/>
  <c r="G53" i="1"/>
  <c r="G52" i="1"/>
  <c r="AM128" i="4"/>
  <c r="AL128" i="4"/>
  <c r="AK128" i="4"/>
  <c r="AJ128" i="4"/>
  <c r="L128" i="4"/>
  <c r="AE128" i="4" s="1"/>
  <c r="L127" i="4"/>
  <c r="AE127" i="4" s="1"/>
  <c r="AM126" i="4"/>
  <c r="AL126" i="4"/>
  <c r="AK126" i="4"/>
  <c r="AJ126" i="4"/>
  <c r="L126" i="4"/>
  <c r="AE126" i="4" s="1"/>
  <c r="AM106" i="4"/>
  <c r="AL106" i="4"/>
  <c r="AK106" i="4"/>
  <c r="AJ106" i="4"/>
  <c r="L106" i="4"/>
  <c r="AE106" i="4" s="1"/>
  <c r="AM125" i="4"/>
  <c r="AL125" i="4"/>
  <c r="AK125" i="4"/>
  <c r="AJ125" i="4"/>
  <c r="L125" i="4"/>
  <c r="AE125" i="4" s="1"/>
  <c r="AM51" i="4"/>
  <c r="AL51" i="4"/>
  <c r="AK51" i="4"/>
  <c r="AJ51" i="4"/>
  <c r="L51" i="4"/>
  <c r="AE51" i="4" s="1"/>
  <c r="AM101" i="4"/>
  <c r="AL101" i="4"/>
  <c r="AK101" i="4"/>
  <c r="AJ101" i="4"/>
  <c r="L101" i="4"/>
  <c r="AE101" i="4" s="1"/>
  <c r="AM100" i="4"/>
  <c r="AL100" i="4"/>
  <c r="AK100" i="4"/>
  <c r="AJ100" i="4"/>
  <c r="L100" i="4"/>
  <c r="AE100" i="4" s="1"/>
  <c r="AM95" i="4"/>
  <c r="AL95" i="4"/>
  <c r="AK95" i="4"/>
  <c r="AJ95" i="4"/>
  <c r="L95" i="4"/>
  <c r="AE95" i="4" s="1"/>
  <c r="AM94" i="4"/>
  <c r="AL94" i="4"/>
  <c r="AK94" i="4"/>
  <c r="AJ94" i="4"/>
  <c r="L94" i="4"/>
  <c r="AE94" i="4" s="1"/>
  <c r="AM93" i="4"/>
  <c r="AL93" i="4"/>
  <c r="AK93" i="4"/>
  <c r="AJ93" i="4"/>
  <c r="L93" i="4"/>
  <c r="AE93" i="4" s="1"/>
  <c r="AM43" i="4"/>
  <c r="AL43" i="4"/>
  <c r="AK43" i="4"/>
  <c r="AJ43" i="4"/>
  <c r="L43" i="4"/>
  <c r="AE43" i="4" s="1"/>
  <c r="L121" i="4"/>
  <c r="AE121" i="4" s="1"/>
  <c r="L122" i="4"/>
  <c r="AE122" i="4" s="1"/>
  <c r="L119" i="4"/>
  <c r="AE119" i="4" s="1"/>
  <c r="L118" i="4"/>
  <c r="AE118" i="4" s="1"/>
  <c r="AM120" i="4"/>
  <c r="AL120" i="4"/>
  <c r="AK120" i="4"/>
  <c r="AJ120" i="4"/>
  <c r="AE120" i="4"/>
  <c r="AM123" i="4"/>
  <c r="AL123" i="4"/>
  <c r="AK123" i="4"/>
  <c r="AJ123" i="4"/>
  <c r="L123" i="4"/>
  <c r="AE123" i="4" s="1"/>
  <c r="M51" i="1"/>
  <c r="L117" i="4"/>
  <c r="AB117" i="4" s="1"/>
  <c r="L110" i="4"/>
  <c r="AE110" i="4" s="1"/>
  <c r="AM109" i="4"/>
  <c r="AL109" i="4"/>
  <c r="AK109" i="4"/>
  <c r="AJ109" i="4"/>
  <c r="L109" i="4"/>
  <c r="X109" i="4" s="1"/>
  <c r="L108" i="4"/>
  <c r="Y108" i="4" s="1"/>
  <c r="L107" i="4"/>
  <c r="AE107" i="4" s="1"/>
  <c r="AM105" i="4"/>
  <c r="AL105" i="4"/>
  <c r="AK105" i="4"/>
  <c r="AJ105" i="4"/>
  <c r="L105" i="4"/>
  <c r="AE105" i="4" s="1"/>
  <c r="AM104" i="4"/>
  <c r="AL104" i="4"/>
  <c r="AK104" i="4"/>
  <c r="AJ104" i="4"/>
  <c r="L104" i="4"/>
  <c r="AE104" i="4" s="1"/>
  <c r="L103" i="4"/>
  <c r="AE103" i="4" s="1"/>
  <c r="L102" i="4"/>
  <c r="AE102" i="4" s="1"/>
  <c r="L98" i="4"/>
  <c r="AE98" i="4" s="1"/>
  <c r="AM111" i="4"/>
  <c r="AL111" i="4"/>
  <c r="AK111" i="4"/>
  <c r="AJ111" i="4"/>
  <c r="L111" i="4"/>
  <c r="AE111" i="4" s="1"/>
  <c r="L91" i="4"/>
  <c r="AE91" i="4" s="1"/>
  <c r="L92" i="4"/>
  <c r="AE92" i="4" s="1"/>
  <c r="AM99" i="4"/>
  <c r="AL99" i="4"/>
  <c r="AK99" i="4"/>
  <c r="AJ99" i="4"/>
  <c r="L99" i="4"/>
  <c r="AE99" i="4" s="1"/>
  <c r="AM112" i="4"/>
  <c r="AL112" i="4"/>
  <c r="AK112" i="4"/>
  <c r="AJ112" i="4"/>
  <c r="L112" i="4"/>
  <c r="AE112" i="4" s="1"/>
  <c r="AM84" i="4"/>
  <c r="AL84" i="4"/>
  <c r="AK84" i="4"/>
  <c r="AJ84" i="4"/>
  <c r="AE84" i="4"/>
  <c r="AM86" i="4"/>
  <c r="AL86" i="4"/>
  <c r="AK86" i="4"/>
  <c r="AJ86" i="4"/>
  <c r="AE86" i="4"/>
  <c r="AM88" i="4"/>
  <c r="AL88" i="4"/>
  <c r="AK88" i="4"/>
  <c r="AJ88" i="4"/>
  <c r="AE88" i="4"/>
  <c r="L90" i="4"/>
  <c r="AE90" i="4" s="1"/>
  <c r="AM87" i="4"/>
  <c r="AL87" i="4"/>
  <c r="AK87" i="4"/>
  <c r="AJ87" i="4"/>
  <c r="L87" i="4"/>
  <c r="AE87" i="4" s="1"/>
  <c r="AM89" i="4"/>
  <c r="AL89" i="4"/>
  <c r="AK89" i="4"/>
  <c r="AJ89" i="4"/>
  <c r="L89" i="4"/>
  <c r="AE89" i="4" s="1"/>
  <c r="AM85" i="4"/>
  <c r="AL85" i="4"/>
  <c r="AK85" i="4"/>
  <c r="AJ85" i="4"/>
  <c r="L85" i="4"/>
  <c r="AE85" i="4" s="1"/>
  <c r="AM52" i="4"/>
  <c r="AL52" i="4"/>
  <c r="AK52" i="4"/>
  <c r="AJ52" i="4"/>
  <c r="AE52" i="4"/>
  <c r="AM56" i="4"/>
  <c r="AL56" i="4"/>
  <c r="AK56" i="4"/>
  <c r="AJ56" i="4"/>
  <c r="L56" i="4"/>
  <c r="AE56" i="4" s="1"/>
  <c r="AM38" i="4"/>
  <c r="AL38" i="4"/>
  <c r="AK38" i="4"/>
  <c r="AJ38" i="4"/>
  <c r="L38" i="4"/>
  <c r="AE38" i="4" s="1"/>
  <c r="L39" i="4"/>
  <c r="X39" i="4" s="1"/>
  <c r="AM55" i="4"/>
  <c r="AL55" i="4"/>
  <c r="AK55" i="4"/>
  <c r="AJ55" i="4"/>
  <c r="L55" i="4"/>
  <c r="AE55" i="4" s="1"/>
  <c r="AM79" i="4"/>
  <c r="AL79" i="4"/>
  <c r="AK79" i="4"/>
  <c r="AJ79" i="4"/>
  <c r="L79" i="4"/>
  <c r="AD79" i="4" s="1"/>
  <c r="L80" i="4"/>
  <c r="AE80" i="4" s="1"/>
  <c r="L73" i="4"/>
  <c r="AE73" i="4" s="1"/>
  <c r="AM50" i="4"/>
  <c r="AL50" i="4"/>
  <c r="AK50" i="4"/>
  <c r="AJ50" i="4"/>
  <c r="L50" i="4"/>
  <c r="AE50" i="4" s="1"/>
  <c r="AM49" i="4"/>
  <c r="AL49" i="4"/>
  <c r="AK49" i="4"/>
  <c r="AJ49" i="4"/>
  <c r="L49" i="4"/>
  <c r="AE49" i="4" s="1"/>
  <c r="N7" i="3"/>
  <c r="N8" i="3"/>
  <c r="N9" i="3"/>
  <c r="N10" i="3"/>
  <c r="N11" i="3"/>
  <c r="N12" i="3"/>
  <c r="N13" i="3"/>
  <c r="AM78" i="4"/>
  <c r="AL78" i="4"/>
  <c r="AK78" i="4"/>
  <c r="AJ78" i="4"/>
  <c r="L78" i="4"/>
  <c r="AE78" i="4" s="1"/>
  <c r="AM76" i="4"/>
  <c r="AL76" i="4"/>
  <c r="AK76" i="4"/>
  <c r="AJ76" i="4"/>
  <c r="L76" i="4"/>
  <c r="AE76" i="4" s="1"/>
  <c r="AM74" i="4"/>
  <c r="AL74" i="4"/>
  <c r="AK74" i="4"/>
  <c r="AJ74" i="4"/>
  <c r="L74" i="4"/>
  <c r="AB74" i="4" s="1"/>
  <c r="L70" i="4"/>
  <c r="AE70" i="4" s="1"/>
  <c r="L75" i="4"/>
  <c r="AD75" i="4" s="1"/>
  <c r="AM75" i="4"/>
  <c r="AL75" i="4"/>
  <c r="AK75" i="4"/>
  <c r="AJ75" i="4"/>
  <c r="L72" i="4"/>
  <c r="AB72" i="4" s="1"/>
  <c r="L71" i="4"/>
  <c r="AE71" i="4" s="1"/>
  <c r="L28" i="4"/>
  <c r="L27" i="4"/>
  <c r="L54" i="4"/>
  <c r="AE54" i="4" s="1"/>
  <c r="AM124" i="4"/>
  <c r="AL124" i="4"/>
  <c r="AK124" i="4"/>
  <c r="AJ124" i="4"/>
  <c r="L124" i="4"/>
  <c r="AB124" i="4" s="1"/>
  <c r="AM83" i="4"/>
  <c r="AL83" i="4"/>
  <c r="AK83" i="4"/>
  <c r="AJ83" i="4"/>
  <c r="L83" i="4"/>
  <c r="AE83" i="4" s="1"/>
  <c r="L53" i="4"/>
  <c r="AD53" i="4" s="1"/>
  <c r="L48" i="4"/>
  <c r="AE48" i="4" s="1"/>
  <c r="L68" i="4"/>
  <c r="AE68" i="4" s="1"/>
  <c r="L69" i="4"/>
  <c r="AE69" i="4" s="1"/>
  <c r="AJ14" i="4"/>
  <c r="AK14" i="4"/>
  <c r="AL14" i="4"/>
  <c r="AM14" i="4"/>
  <c r="AJ15" i="4"/>
  <c r="AK15" i="4"/>
  <c r="AL15" i="4"/>
  <c r="AM15" i="4"/>
  <c r="AJ16" i="4"/>
  <c r="AK16" i="4"/>
  <c r="AL16" i="4"/>
  <c r="AM16" i="4"/>
  <c r="AJ17" i="4"/>
  <c r="AK17" i="4"/>
  <c r="AL17" i="4"/>
  <c r="AM17" i="4"/>
  <c r="AJ18" i="4"/>
  <c r="AK18" i="4"/>
  <c r="AL18" i="4"/>
  <c r="AM18" i="4"/>
  <c r="AJ19" i="4"/>
  <c r="AK19" i="4"/>
  <c r="AL19" i="4"/>
  <c r="AM19" i="4"/>
  <c r="AJ20" i="4"/>
  <c r="AK20" i="4"/>
  <c r="AL20" i="4"/>
  <c r="AM20" i="4"/>
  <c r="AJ21" i="4"/>
  <c r="AK21" i="4"/>
  <c r="AL21" i="4"/>
  <c r="AM21" i="4"/>
  <c r="AJ22" i="4"/>
  <c r="AK22" i="4"/>
  <c r="AL22" i="4"/>
  <c r="AM22" i="4"/>
  <c r="AJ23" i="4"/>
  <c r="AK23" i="4"/>
  <c r="AL23" i="4"/>
  <c r="AM23" i="4"/>
  <c r="AJ24" i="4"/>
  <c r="AK24" i="4"/>
  <c r="AL24" i="4"/>
  <c r="AM24" i="4"/>
  <c r="AJ25" i="4"/>
  <c r="AK25" i="4"/>
  <c r="AL25" i="4"/>
  <c r="AM25" i="4"/>
  <c r="AJ26" i="4"/>
  <c r="AK26" i="4"/>
  <c r="AL26" i="4"/>
  <c r="AM26" i="4"/>
  <c r="AJ27" i="4"/>
  <c r="AK27" i="4"/>
  <c r="AL27" i="4"/>
  <c r="AM27" i="4"/>
  <c r="AJ28" i="4"/>
  <c r="AK28" i="4"/>
  <c r="AL28" i="4"/>
  <c r="AM28" i="4"/>
  <c r="AJ29" i="4"/>
  <c r="AK29" i="4"/>
  <c r="AL29" i="4"/>
  <c r="AM29" i="4"/>
  <c r="AJ30" i="4"/>
  <c r="AK30" i="4"/>
  <c r="AL30" i="4"/>
  <c r="AM30" i="4"/>
  <c r="AJ31" i="4"/>
  <c r="AK31" i="4"/>
  <c r="AL31" i="4"/>
  <c r="AM31" i="4"/>
  <c r="AJ32" i="4"/>
  <c r="AK32" i="4"/>
  <c r="AL32" i="4"/>
  <c r="AM32" i="4"/>
  <c r="AJ33" i="4"/>
  <c r="AK33" i="4"/>
  <c r="AL33" i="4"/>
  <c r="AM33" i="4"/>
  <c r="AJ34" i="4"/>
  <c r="AK34" i="4"/>
  <c r="AL34" i="4"/>
  <c r="AM34" i="4"/>
  <c r="AJ35" i="4"/>
  <c r="AK35" i="4"/>
  <c r="AL35" i="4"/>
  <c r="AM35" i="4"/>
  <c r="AJ36" i="4"/>
  <c r="AK36" i="4"/>
  <c r="AL36" i="4"/>
  <c r="AM36" i="4"/>
  <c r="AJ37" i="4"/>
  <c r="AK37" i="4"/>
  <c r="AL37" i="4"/>
  <c r="AM37" i="4"/>
  <c r="L13" i="4"/>
  <c r="AB13" i="4" s="1"/>
  <c r="L12" i="4"/>
  <c r="AE12" i="4" s="1"/>
  <c r="L11" i="4"/>
  <c r="AE11" i="4" s="1"/>
  <c r="L10" i="4"/>
  <c r="AE10" i="4" s="1"/>
  <c r="L9" i="4"/>
  <c r="AE9" i="4" s="1"/>
  <c r="L7" i="4"/>
  <c r="AE7" i="4" s="1"/>
  <c r="L8" i="4"/>
  <c r="AE8" i="4" s="1"/>
  <c r="L42" i="4"/>
  <c r="Y42" i="4" s="1"/>
  <c r="L37" i="4"/>
  <c r="AD37" i="4" s="1"/>
  <c r="L36" i="4"/>
  <c r="AE36" i="4" s="1"/>
  <c r="L17" i="4"/>
  <c r="L6" i="4"/>
  <c r="AE6" i="4" s="1"/>
  <c r="L41" i="4"/>
  <c r="Z41" i="4" s="1"/>
  <c r="L40" i="4"/>
  <c r="AA40" i="4" s="1"/>
  <c r="L32" i="4"/>
  <c r="AC32" i="4" s="1"/>
  <c r="D7" i="6" l="1"/>
  <c r="C7" i="6"/>
  <c r="F6" i="6"/>
  <c r="E6" i="6" s="1"/>
  <c r="C6" i="6" s="1"/>
  <c r="T48" i="1"/>
  <c r="K37" i="1" s="1"/>
  <c r="R48" i="1"/>
  <c r="J37" i="1" s="1"/>
  <c r="AM4" i="4"/>
  <c r="AK4" i="4"/>
  <c r="AI4" i="4"/>
  <c r="H51" i="1" s="1"/>
  <c r="AG4" i="4"/>
  <c r="AI67" i="4"/>
  <c r="J51" i="1" s="1"/>
  <c r="AK67" i="4"/>
  <c r="AM67" i="4"/>
  <c r="AI47" i="4"/>
  <c r="I51" i="1" s="1"/>
  <c r="AK47" i="4"/>
  <c r="AM47" i="4"/>
  <c r="AJ82" i="4"/>
  <c r="AL82" i="4"/>
  <c r="AI97" i="4"/>
  <c r="L51" i="1" s="1"/>
  <c r="M50" i="1"/>
  <c r="AI82" i="4"/>
  <c r="K51" i="1" s="1"/>
  <c r="AL4" i="4"/>
  <c r="AJ4" i="4"/>
  <c r="AH4" i="4"/>
  <c r="H50" i="1" s="1"/>
  <c r="AF4" i="4"/>
  <c r="AH67" i="4"/>
  <c r="AJ67" i="4"/>
  <c r="AL67" i="4"/>
  <c r="AH47" i="4"/>
  <c r="AJ47" i="4"/>
  <c r="AL47" i="4"/>
  <c r="AE82" i="4"/>
  <c r="K33" i="1" s="1"/>
  <c r="AK82" i="4"/>
  <c r="AM82" i="4"/>
  <c r="K50" i="1"/>
  <c r="AH97" i="4"/>
  <c r="L50" i="1" s="1"/>
  <c r="AJ97" i="4"/>
  <c r="AL97" i="4"/>
  <c r="AK114" i="4"/>
  <c r="AM114" i="4"/>
  <c r="AK97" i="4"/>
  <c r="AM97" i="4"/>
  <c r="AJ114" i="4"/>
  <c r="AL114" i="4"/>
  <c r="D4" i="6"/>
  <c r="C4" i="6"/>
  <c r="Q53" i="1"/>
  <c r="H42" i="1" s="1"/>
  <c r="Q49" i="1"/>
  <c r="H38" i="1" s="1"/>
  <c r="T53" i="1"/>
  <c r="K42" i="1" s="1"/>
  <c r="R53" i="1"/>
  <c r="J42" i="1" s="1"/>
  <c r="T49" i="1"/>
  <c r="K38" i="1" s="1"/>
  <c r="R49" i="1"/>
  <c r="J38" i="1" s="1"/>
  <c r="V49" i="1"/>
  <c r="M38" i="1" s="1"/>
  <c r="V53" i="1"/>
  <c r="M42" i="1" s="1"/>
  <c r="Q48" i="1"/>
  <c r="H37" i="1" s="1"/>
  <c r="U53" i="1"/>
  <c r="L42" i="1" s="1"/>
  <c r="U49" i="1"/>
  <c r="L38" i="1" s="1"/>
  <c r="U48" i="1"/>
  <c r="L37" i="1" s="1"/>
  <c r="S48" i="1"/>
  <c r="I37" i="1" s="1"/>
  <c r="X128" i="4"/>
  <c r="Z126" i="4"/>
  <c r="Y128" i="4"/>
  <c r="Z128" i="4"/>
  <c r="X127" i="4"/>
  <c r="AA128" i="4"/>
  <c r="Y127" i="4"/>
  <c r="AB128" i="4"/>
  <c r="AB127" i="4"/>
  <c r="AC128" i="4"/>
  <c r="AD127" i="4"/>
  <c r="AD128" i="4"/>
  <c r="Z127" i="4"/>
  <c r="AA127" i="4"/>
  <c r="AC127" i="4"/>
  <c r="X126" i="4"/>
  <c r="Y126" i="4"/>
  <c r="AA126" i="4"/>
  <c r="Z125" i="4"/>
  <c r="AB126" i="4"/>
  <c r="AC126" i="4"/>
  <c r="X106" i="4"/>
  <c r="AD126" i="4"/>
  <c r="AA125" i="4"/>
  <c r="Y106" i="4"/>
  <c r="Z106" i="4"/>
  <c r="AA106" i="4"/>
  <c r="AB106" i="4"/>
  <c r="AC106" i="4"/>
  <c r="AD106" i="4"/>
  <c r="X125" i="4"/>
  <c r="Y125" i="4"/>
  <c r="AB125" i="4"/>
  <c r="AC125" i="4"/>
  <c r="AD125" i="4"/>
  <c r="X51" i="4"/>
  <c r="Y51" i="4"/>
  <c r="Z51" i="4"/>
  <c r="AA51" i="4"/>
  <c r="AB51" i="4"/>
  <c r="AC51" i="4"/>
  <c r="AD51" i="4"/>
  <c r="AC100" i="4"/>
  <c r="AD100" i="4"/>
  <c r="X101" i="4"/>
  <c r="AC101" i="4"/>
  <c r="AD101" i="4"/>
  <c r="Y101" i="4"/>
  <c r="Z101" i="4"/>
  <c r="AA101" i="4"/>
  <c r="AB101" i="4"/>
  <c r="X100" i="4"/>
  <c r="Y100" i="4"/>
  <c r="AA93" i="4"/>
  <c r="Z100" i="4"/>
  <c r="AA100" i="4"/>
  <c r="AB100" i="4"/>
  <c r="Z94" i="4"/>
  <c r="X95" i="4"/>
  <c r="AA95" i="4"/>
  <c r="AD95" i="4"/>
  <c r="X93" i="4"/>
  <c r="Y95" i="4"/>
  <c r="Z95" i="4"/>
  <c r="AB95" i="4"/>
  <c r="AC95" i="4"/>
  <c r="Y93" i="4"/>
  <c r="X94" i="4"/>
  <c r="Z93" i="4"/>
  <c r="Y94" i="4"/>
  <c r="AB93" i="4"/>
  <c r="AA94" i="4"/>
  <c r="AC93" i="4"/>
  <c r="AB94" i="4"/>
  <c r="X43" i="4"/>
  <c r="AD93" i="4"/>
  <c r="AC94" i="4"/>
  <c r="AD94" i="4"/>
  <c r="Y43" i="4"/>
  <c r="Z43" i="4"/>
  <c r="AA43" i="4"/>
  <c r="AB43" i="4"/>
  <c r="AC43" i="4"/>
  <c r="X121" i="4"/>
  <c r="AD43" i="4"/>
  <c r="Y121" i="4"/>
  <c r="Z121" i="4"/>
  <c r="AA121" i="4"/>
  <c r="AB121" i="4"/>
  <c r="AC121" i="4"/>
  <c r="X122" i="4"/>
  <c r="AD121" i="4"/>
  <c r="Y119" i="4"/>
  <c r="Y122" i="4"/>
  <c r="Z119" i="4"/>
  <c r="Z122" i="4"/>
  <c r="AA122" i="4"/>
  <c r="AB122" i="4"/>
  <c r="AC122" i="4"/>
  <c r="AD122" i="4"/>
  <c r="X119" i="4"/>
  <c r="AA119" i="4"/>
  <c r="AB119" i="4"/>
  <c r="X118" i="4"/>
  <c r="AC119" i="4"/>
  <c r="Z118" i="4"/>
  <c r="AD119" i="4"/>
  <c r="Y118" i="4"/>
  <c r="X107" i="4"/>
  <c r="AA118" i="4"/>
  <c r="Y107" i="4"/>
  <c r="X120" i="4"/>
  <c r="AB118" i="4"/>
  <c r="Z107" i="4"/>
  <c r="AC120" i="4"/>
  <c r="AC118" i="4"/>
  <c r="AD120" i="4"/>
  <c r="AD118" i="4"/>
  <c r="Y120" i="4"/>
  <c r="Z120" i="4"/>
  <c r="X110" i="4"/>
  <c r="AA120" i="4"/>
  <c r="AC110" i="4"/>
  <c r="AB120" i="4"/>
  <c r="X123" i="4"/>
  <c r="Y123" i="4"/>
  <c r="Z123" i="4"/>
  <c r="AA123" i="4"/>
  <c r="AB123" i="4"/>
  <c r="AC123" i="4"/>
  <c r="AD123" i="4"/>
  <c r="X117" i="4"/>
  <c r="Y117" i="4"/>
  <c r="AA117" i="4"/>
  <c r="AC117" i="4"/>
  <c r="AD117" i="4"/>
  <c r="AE117" i="4"/>
  <c r="Z117" i="4"/>
  <c r="Z108" i="4"/>
  <c r="Y109" i="4"/>
  <c r="AA107" i="4"/>
  <c r="AD110" i="4"/>
  <c r="AB107" i="4"/>
  <c r="AA108" i="4"/>
  <c r="Z109" i="4"/>
  <c r="Y110" i="4"/>
  <c r="AC107" i="4"/>
  <c r="AB108" i="4"/>
  <c r="AA109" i="4"/>
  <c r="Z110" i="4"/>
  <c r="X105" i="4"/>
  <c r="AD107" i="4"/>
  <c r="AC108" i="4"/>
  <c r="AB109" i="4"/>
  <c r="AA110" i="4"/>
  <c r="AD108" i="4"/>
  <c r="AC109" i="4"/>
  <c r="AB110" i="4"/>
  <c r="AE108" i="4"/>
  <c r="AD109" i="4"/>
  <c r="X108" i="4"/>
  <c r="AE109" i="4"/>
  <c r="Y105" i="4"/>
  <c r="Z105" i="4"/>
  <c r="AA105" i="4"/>
  <c r="AB105" i="4"/>
  <c r="AC105" i="4"/>
  <c r="X104" i="4"/>
  <c r="AD105" i="4"/>
  <c r="Y104" i="4"/>
  <c r="Z104" i="4"/>
  <c r="AA104" i="4"/>
  <c r="X103" i="4"/>
  <c r="AB104" i="4"/>
  <c r="AC103" i="4"/>
  <c r="AC104" i="4"/>
  <c r="AD103" i="4"/>
  <c r="AD104" i="4"/>
  <c r="Y103" i="4"/>
  <c r="Z103" i="4"/>
  <c r="AA103" i="4"/>
  <c r="AB103" i="4"/>
  <c r="X111" i="4"/>
  <c r="X98" i="4"/>
  <c r="Y98" i="4"/>
  <c r="X102" i="4"/>
  <c r="Z98" i="4"/>
  <c r="Y102" i="4"/>
  <c r="AA98" i="4"/>
  <c r="Z102" i="4"/>
  <c r="AB98" i="4"/>
  <c r="AA102" i="4"/>
  <c r="AC98" i="4"/>
  <c r="AB102" i="4"/>
  <c r="AD98" i="4"/>
  <c r="AC102" i="4"/>
  <c r="AD102" i="4"/>
  <c r="Y111" i="4"/>
  <c r="Z111" i="4"/>
  <c r="AA111" i="4"/>
  <c r="AB111" i="4"/>
  <c r="AC111" i="4"/>
  <c r="AD111" i="4"/>
  <c r="X99" i="4"/>
  <c r="Y99" i="4"/>
  <c r="Z99" i="4"/>
  <c r="AA99" i="4"/>
  <c r="AB99" i="4"/>
  <c r="AC99" i="4"/>
  <c r="X112" i="4"/>
  <c r="AD99" i="4"/>
  <c r="Y112" i="4"/>
  <c r="Z112" i="4"/>
  <c r="AA112" i="4"/>
  <c r="AB112" i="4"/>
  <c r="AC112" i="4"/>
  <c r="X84" i="4"/>
  <c r="AD112" i="4"/>
  <c r="Y84" i="4"/>
  <c r="Z84" i="4"/>
  <c r="AA84" i="4"/>
  <c r="AB84" i="4"/>
  <c r="X86" i="4"/>
  <c r="AC84" i="4"/>
  <c r="Z86" i="4"/>
  <c r="AD84" i="4"/>
  <c r="Y86" i="4"/>
  <c r="AA86" i="4"/>
  <c r="AB86" i="4"/>
  <c r="AC86" i="4"/>
  <c r="AD86" i="4"/>
  <c r="X88" i="4"/>
  <c r="Y88" i="4"/>
  <c r="Z88" i="4"/>
  <c r="AA88" i="4"/>
  <c r="AB88" i="4"/>
  <c r="AC88" i="4"/>
  <c r="X92" i="4"/>
  <c r="AD88" i="4"/>
  <c r="Y92" i="4"/>
  <c r="Z92" i="4"/>
  <c r="AA92" i="4"/>
  <c r="AB92" i="4"/>
  <c r="X87" i="4"/>
  <c r="AC92" i="4"/>
  <c r="AD92" i="4"/>
  <c r="X90" i="4"/>
  <c r="Y90" i="4"/>
  <c r="Z90" i="4"/>
  <c r="AA90" i="4"/>
  <c r="AB90" i="4"/>
  <c r="AC90" i="4"/>
  <c r="AD90" i="4"/>
  <c r="Y87" i="4"/>
  <c r="Z87" i="4"/>
  <c r="AA87" i="4"/>
  <c r="AB87" i="4"/>
  <c r="AC87" i="4"/>
  <c r="X89" i="4"/>
  <c r="AD87" i="4"/>
  <c r="Y89" i="4"/>
  <c r="Z89" i="4"/>
  <c r="AA89" i="4"/>
  <c r="AB89" i="4"/>
  <c r="AC89" i="4"/>
  <c r="X85" i="4"/>
  <c r="AD89" i="4"/>
  <c r="Y85" i="4"/>
  <c r="Z85" i="4"/>
  <c r="AA85" i="4"/>
  <c r="AB85" i="4"/>
  <c r="AC85" i="4"/>
  <c r="X52" i="4"/>
  <c r="AD85" i="4"/>
  <c r="Y52" i="4"/>
  <c r="Z52" i="4"/>
  <c r="AA52" i="4"/>
  <c r="AB52" i="4"/>
  <c r="AC52" i="4"/>
  <c r="AD52" i="4"/>
  <c r="X56" i="4"/>
  <c r="Y56" i="4"/>
  <c r="Z56" i="4"/>
  <c r="AA56" i="4"/>
  <c r="AB56" i="4"/>
  <c r="AC56" i="4"/>
  <c r="X38" i="4"/>
  <c r="AD56" i="4"/>
  <c r="AA55" i="4"/>
  <c r="AC39" i="4"/>
  <c r="Y38" i="4"/>
  <c r="Z38" i="4"/>
  <c r="AE39" i="4"/>
  <c r="AA38" i="4"/>
  <c r="AD39" i="4"/>
  <c r="AB38" i="4"/>
  <c r="AC38" i="4"/>
  <c r="Z55" i="4"/>
  <c r="AD38" i="4"/>
  <c r="AB39" i="4"/>
  <c r="AA39" i="4"/>
  <c r="Z39" i="4"/>
  <c r="Y39" i="4"/>
  <c r="AB55" i="4"/>
  <c r="AC55" i="4"/>
  <c r="X55" i="4"/>
  <c r="Y55" i="4"/>
  <c r="AD55" i="4"/>
  <c r="X79" i="4"/>
  <c r="Y79" i="4"/>
  <c r="Z79" i="4"/>
  <c r="AA79" i="4"/>
  <c r="AE79" i="4"/>
  <c r="AB79" i="4"/>
  <c r="AC79" i="4"/>
  <c r="X80" i="4"/>
  <c r="Y80" i="4"/>
  <c r="Z80" i="4"/>
  <c r="AA80" i="4"/>
  <c r="AB80" i="4"/>
  <c r="AC80" i="4"/>
  <c r="AD80" i="4"/>
  <c r="X73" i="4"/>
  <c r="Y73" i="4"/>
  <c r="Z73" i="4"/>
  <c r="AA73" i="4"/>
  <c r="AB73" i="4"/>
  <c r="AC73" i="4"/>
  <c r="AD73" i="4"/>
  <c r="X50" i="4"/>
  <c r="Y50" i="4"/>
  <c r="Z50" i="4"/>
  <c r="AA50" i="4"/>
  <c r="AB50" i="4"/>
  <c r="AC50" i="4"/>
  <c r="X49" i="4"/>
  <c r="AD50" i="4"/>
  <c r="Y49" i="4"/>
  <c r="Z49" i="4"/>
  <c r="AA49" i="4"/>
  <c r="X78" i="4"/>
  <c r="AB49" i="4"/>
  <c r="Y78" i="4"/>
  <c r="AC49" i="4"/>
  <c r="Z78" i="4"/>
  <c r="AD49" i="4"/>
  <c r="AA78" i="4"/>
  <c r="AB78" i="4"/>
  <c r="AC78" i="4"/>
  <c r="Z76" i="4"/>
  <c r="AD78" i="4"/>
  <c r="X76" i="4"/>
  <c r="Y76" i="4"/>
  <c r="AA76" i="4"/>
  <c r="AB76" i="4"/>
  <c r="AC76" i="4"/>
  <c r="AD76" i="4"/>
  <c r="X70" i="4"/>
  <c r="Z74" i="4"/>
  <c r="AC74" i="4"/>
  <c r="AD74" i="4"/>
  <c r="AE74" i="4"/>
  <c r="X74" i="4"/>
  <c r="Y74" i="4"/>
  <c r="AA74" i="4"/>
  <c r="Y70" i="4"/>
  <c r="Z71" i="4"/>
  <c r="Z70" i="4"/>
  <c r="AA70" i="4"/>
  <c r="AE75" i="4"/>
  <c r="AB70" i="4"/>
  <c r="AC70" i="4"/>
  <c r="AD70" i="4"/>
  <c r="Y83" i="4"/>
  <c r="X75" i="4"/>
  <c r="AC75" i="4"/>
  <c r="Y75" i="4"/>
  <c r="Z75" i="4"/>
  <c r="X83" i="4"/>
  <c r="AA75" i="4"/>
  <c r="AB75" i="4"/>
  <c r="X72" i="4"/>
  <c r="Y72" i="4"/>
  <c r="AA72" i="4"/>
  <c r="AC72" i="4"/>
  <c r="AD72" i="4"/>
  <c r="AE72" i="4"/>
  <c r="Z72" i="4"/>
  <c r="X71" i="4"/>
  <c r="Y71" i="4"/>
  <c r="AA71" i="4"/>
  <c r="AB71" i="4"/>
  <c r="AC71" i="4"/>
  <c r="AD71" i="4"/>
  <c r="Z83" i="4"/>
  <c r="AA83" i="4"/>
  <c r="Z124" i="4"/>
  <c r="AA124" i="4"/>
  <c r="AC124" i="4"/>
  <c r="AD124" i="4"/>
  <c r="X91" i="4"/>
  <c r="Y91" i="4"/>
  <c r="X54" i="4"/>
  <c r="Z91" i="4"/>
  <c r="Y54" i="4"/>
  <c r="Z54" i="4"/>
  <c r="AA54" i="4"/>
  <c r="AB54" i="4"/>
  <c r="AC54" i="4"/>
  <c r="AD54" i="4"/>
  <c r="AE124" i="4"/>
  <c r="X124" i="4"/>
  <c r="Y124" i="4"/>
  <c r="AB83" i="4"/>
  <c r="AA91" i="4"/>
  <c r="AC83" i="4"/>
  <c r="AB91" i="4"/>
  <c r="AD83" i="4"/>
  <c r="AC91" i="4"/>
  <c r="AD91" i="4"/>
  <c r="AE53" i="4"/>
  <c r="AE47" i="4" s="1"/>
  <c r="Y53" i="4"/>
  <c r="X53" i="4"/>
  <c r="Z53" i="4"/>
  <c r="AA53" i="4"/>
  <c r="AC53" i="4"/>
  <c r="AB53" i="4"/>
  <c r="X48" i="4"/>
  <c r="Y48" i="4"/>
  <c r="AA48" i="4"/>
  <c r="Z48" i="4"/>
  <c r="AB48" i="4"/>
  <c r="AC48" i="4"/>
  <c r="AD48" i="4"/>
  <c r="X68" i="4"/>
  <c r="Y68" i="4"/>
  <c r="Z68" i="4"/>
  <c r="AA68" i="4"/>
  <c r="AB68" i="4"/>
  <c r="AC68" i="4"/>
  <c r="AD68" i="4"/>
  <c r="Y69" i="4"/>
  <c r="X69" i="4"/>
  <c r="Z69" i="4"/>
  <c r="AA69" i="4"/>
  <c r="AC69" i="4"/>
  <c r="AB69" i="4"/>
  <c r="AD69" i="4"/>
  <c r="AC7" i="4"/>
  <c r="AD7" i="4"/>
  <c r="Y7" i="4"/>
  <c r="X7" i="4"/>
  <c r="Z7" i="4"/>
  <c r="AA7" i="4"/>
  <c r="AB7" i="4"/>
  <c r="X8" i="4"/>
  <c r="AB8" i="4"/>
  <c r="Y11" i="4"/>
  <c r="X12" i="4"/>
  <c r="Y8" i="4"/>
  <c r="Y6" i="4"/>
  <c r="X9" i="4"/>
  <c r="X6" i="4"/>
  <c r="Z6" i="4"/>
  <c r="AA9" i="4"/>
  <c r="AC6" i="4"/>
  <c r="Z11" i="4"/>
  <c r="AA6" i="4"/>
  <c r="Z8" i="4"/>
  <c r="Y9" i="4"/>
  <c r="X10" i="4"/>
  <c r="AB6" i="4"/>
  <c r="AA8" i="4"/>
  <c r="Z9" i="4"/>
  <c r="Y10" i="4"/>
  <c r="Z10" i="4"/>
  <c r="Y12" i="4"/>
  <c r="AD6" i="4"/>
  <c r="AC8" i="4"/>
  <c r="AB9" i="4"/>
  <c r="AA10" i="4"/>
  <c r="AD8" i="4"/>
  <c r="AC9" i="4"/>
  <c r="AB10" i="4"/>
  <c r="AD9" i="4"/>
  <c r="AC10" i="4"/>
  <c r="X11" i="4"/>
  <c r="AD10" i="4"/>
  <c r="AD13" i="4"/>
  <c r="AA11" i="4"/>
  <c r="Z12" i="4"/>
  <c r="AB11" i="4"/>
  <c r="AA12" i="4"/>
  <c r="AC13" i="4"/>
  <c r="AC11" i="4"/>
  <c r="AB12" i="4"/>
  <c r="AD11" i="4"/>
  <c r="AC12" i="4"/>
  <c r="AD12" i="4"/>
  <c r="AC42" i="4"/>
  <c r="AB40" i="4"/>
  <c r="AC40" i="4"/>
  <c r="AB42" i="4"/>
  <c r="AA41" i="4"/>
  <c r="AB41" i="4"/>
  <c r="AE13" i="4"/>
  <c r="AC41" i="4"/>
  <c r="X13" i="4"/>
  <c r="AD41" i="4"/>
  <c r="Y13" i="4"/>
  <c r="AA13" i="4"/>
  <c r="Z13" i="4"/>
  <c r="Z42" i="4"/>
  <c r="AD40" i="4"/>
  <c r="AA42" i="4"/>
  <c r="Y36" i="4"/>
  <c r="X37" i="4"/>
  <c r="Z36" i="4"/>
  <c r="Y37" i="4"/>
  <c r="AE42" i="4"/>
  <c r="AC36" i="4"/>
  <c r="AB37" i="4"/>
  <c r="Z40" i="4"/>
  <c r="Y41" i="4"/>
  <c r="X42" i="4"/>
  <c r="X36" i="4"/>
  <c r="AE37" i="4"/>
  <c r="AE40" i="4"/>
  <c r="AA36" i="4"/>
  <c r="Z37" i="4"/>
  <c r="X40" i="4"/>
  <c r="AE41" i="4"/>
  <c r="AD42" i="4"/>
  <c r="AB36" i="4"/>
  <c r="AA37" i="4"/>
  <c r="Y40" i="4"/>
  <c r="X41" i="4"/>
  <c r="AD36" i="4"/>
  <c r="AC37" i="4"/>
  <c r="AE32" i="4"/>
  <c r="Y32" i="4"/>
  <c r="X32" i="4"/>
  <c r="Z32" i="4"/>
  <c r="AD32" i="4"/>
  <c r="AA32" i="4"/>
  <c r="AB32" i="4"/>
  <c r="L29" i="4"/>
  <c r="Y29" i="4" s="1"/>
  <c r="L25" i="4"/>
  <c r="AB25" i="4" s="1"/>
  <c r="L23" i="4"/>
  <c r="AE23" i="4" s="1"/>
  <c r="L35" i="4"/>
  <c r="Z35" i="4" s="1"/>
  <c r="L34" i="4"/>
  <c r="Z34" i="4" s="1"/>
  <c r="L33" i="4"/>
  <c r="Z33" i="4" s="1"/>
  <c r="L31" i="4"/>
  <c r="Y31" i="4" s="1"/>
  <c r="L30" i="4"/>
  <c r="Y30" i="4" s="1"/>
  <c r="Y28" i="4"/>
  <c r="Z27" i="4"/>
  <c r="AE17" i="4"/>
  <c r="L21" i="4"/>
  <c r="AE21" i="4" s="1"/>
  <c r="L15" i="4"/>
  <c r="AE15" i="4" s="1"/>
  <c r="L5" i="4"/>
  <c r="L14" i="4"/>
  <c r="X14" i="4" s="1"/>
  <c r="L20" i="4"/>
  <c r="X20" i="4" s="1"/>
  <c r="L16" i="4"/>
  <c r="X16" i="4" s="1"/>
  <c r="L18" i="4"/>
  <c r="X18" i="4" s="1"/>
  <c r="L19" i="4"/>
  <c r="AE19" i="4" s="1"/>
  <c r="L22" i="4"/>
  <c r="X22" i="4" s="1"/>
  <c r="L24" i="4"/>
  <c r="X24" i="4" s="1"/>
  <c r="L26" i="4"/>
  <c r="X26" i="4" s="1"/>
  <c r="D6" i="6" l="1"/>
  <c r="A3" i="11"/>
  <c r="AA114" i="4"/>
  <c r="Z114" i="4"/>
  <c r="M28" i="1" s="1"/>
  <c r="AD47" i="4"/>
  <c r="I32" i="1" s="1"/>
  <c r="AE67" i="4"/>
  <c r="J33" i="1" s="1"/>
  <c r="AE97" i="4"/>
  <c r="L33" i="1" s="1"/>
  <c r="AA67" i="4"/>
  <c r="J29" i="1" s="1"/>
  <c r="AB47" i="4"/>
  <c r="I30" i="1" s="1"/>
  <c r="AA47" i="4"/>
  <c r="I29" i="1" s="1"/>
  <c r="X47" i="4"/>
  <c r="I26" i="1" s="1"/>
  <c r="AC82" i="4"/>
  <c r="K31" i="1" s="1"/>
  <c r="AB82" i="4"/>
  <c r="K30" i="1" s="1"/>
  <c r="AA82" i="4"/>
  <c r="K29" i="1" s="1"/>
  <c r="AB114" i="4"/>
  <c r="AD67" i="4"/>
  <c r="J32" i="1" s="1"/>
  <c r="AB67" i="4"/>
  <c r="Z67" i="4"/>
  <c r="X67" i="4"/>
  <c r="J26" i="1" s="1"/>
  <c r="AC47" i="4"/>
  <c r="I31" i="1" s="1"/>
  <c r="Z47" i="4"/>
  <c r="Y47" i="4"/>
  <c r="I27" i="1" s="1"/>
  <c r="AD97" i="4"/>
  <c r="L32" i="1" s="1"/>
  <c r="AC97" i="4"/>
  <c r="L31" i="1" s="1"/>
  <c r="AB97" i="4"/>
  <c r="L30" i="1" s="1"/>
  <c r="AA97" i="4"/>
  <c r="L29" i="1" s="1"/>
  <c r="Z97" i="4"/>
  <c r="Y97" i="4"/>
  <c r="L27" i="1" s="1"/>
  <c r="AE114" i="4"/>
  <c r="M33" i="1" s="1"/>
  <c r="AC114" i="4"/>
  <c r="M31" i="1" s="1"/>
  <c r="Y114" i="4"/>
  <c r="M27" i="1" s="1"/>
  <c r="AC67" i="4"/>
  <c r="J31" i="1" s="1"/>
  <c r="Y67" i="4"/>
  <c r="J27" i="1" s="1"/>
  <c r="AD82" i="4"/>
  <c r="K32" i="1" s="1"/>
  <c r="Z82" i="4"/>
  <c r="Y82" i="4"/>
  <c r="K27" i="1" s="1"/>
  <c r="X97" i="4"/>
  <c r="L26" i="1" s="1"/>
  <c r="AD114" i="4"/>
  <c r="M32" i="1" s="1"/>
  <c r="M29" i="1"/>
  <c r="X114" i="4"/>
  <c r="M26" i="1" s="1"/>
  <c r="K11" i="1"/>
  <c r="K22" i="1" s="1"/>
  <c r="X82" i="4"/>
  <c r="K26" i="1" s="1"/>
  <c r="M30" i="1"/>
  <c r="I33" i="1"/>
  <c r="J30" i="1"/>
  <c r="AB5" i="4"/>
  <c r="AC5" i="4"/>
  <c r="Y5" i="4"/>
  <c r="AA5" i="4"/>
  <c r="AD5" i="4"/>
  <c r="X5" i="4"/>
  <c r="Z5" i="4"/>
  <c r="AE35" i="4"/>
  <c r="AE33" i="4"/>
  <c r="X33" i="4"/>
  <c r="Y33" i="4"/>
  <c r="Y35" i="4"/>
  <c r="X31" i="4"/>
  <c r="X35" i="4"/>
  <c r="X29" i="4"/>
  <c r="AE34" i="4"/>
  <c r="AE27" i="4"/>
  <c r="Y34" i="4"/>
  <c r="Y27" i="4"/>
  <c r="X34" i="4"/>
  <c r="X27" i="4"/>
  <c r="X30" i="4"/>
  <c r="AE30" i="4"/>
  <c r="AD35" i="4"/>
  <c r="AD34" i="4"/>
  <c r="AD33" i="4"/>
  <c r="AD31" i="4"/>
  <c r="AD30" i="4"/>
  <c r="AD29" i="4"/>
  <c r="AD28" i="4"/>
  <c r="AD27" i="4"/>
  <c r="AE31" i="4"/>
  <c r="AC35" i="4"/>
  <c r="AC34" i="4"/>
  <c r="AC33" i="4"/>
  <c r="AC31" i="4"/>
  <c r="AC30" i="4"/>
  <c r="AC29" i="4"/>
  <c r="AC28" i="4"/>
  <c r="AC27" i="4"/>
  <c r="X28" i="4"/>
  <c r="AB35" i="4"/>
  <c r="AB34" i="4"/>
  <c r="AB33" i="4"/>
  <c r="AB31" i="4"/>
  <c r="AB30" i="4"/>
  <c r="AB29" i="4"/>
  <c r="AB28" i="4"/>
  <c r="AB27" i="4"/>
  <c r="AE28" i="4"/>
  <c r="AA35" i="4"/>
  <c r="AA34" i="4"/>
  <c r="AA33" i="4"/>
  <c r="AA31" i="4"/>
  <c r="AA30" i="4"/>
  <c r="AA29" i="4"/>
  <c r="AA28" i="4"/>
  <c r="AA27" i="4"/>
  <c r="AE29" i="4"/>
  <c r="Z31" i="4"/>
  <c r="Z30" i="4"/>
  <c r="Z29" i="4"/>
  <c r="Z28" i="4"/>
  <c r="AE25" i="4"/>
  <c r="X25" i="4"/>
  <c r="Y25" i="4"/>
  <c r="AC25" i="4"/>
  <c r="Z25" i="4"/>
  <c r="AA25" i="4"/>
  <c r="AD25" i="4"/>
  <c r="X23" i="4"/>
  <c r="Y23" i="4"/>
  <c r="Z23" i="4"/>
  <c r="AA23" i="4"/>
  <c r="AB23" i="4"/>
  <c r="AC23" i="4"/>
  <c r="AD23" i="4"/>
  <c r="Z17" i="4"/>
  <c r="X17" i="4"/>
  <c r="Y17" i="4"/>
  <c r="AA17" i="4"/>
  <c r="AB17" i="4"/>
  <c r="AC17" i="4"/>
  <c r="AD17" i="4"/>
  <c r="Z15" i="4"/>
  <c r="X15" i="4"/>
  <c r="AC21" i="4"/>
  <c r="X21" i="4"/>
  <c r="AD21" i="4"/>
  <c r="Y21" i="4"/>
  <c r="AA21" i="4"/>
  <c r="Z21" i="4"/>
  <c r="AB21" i="4"/>
  <c r="Y15" i="4"/>
  <c r="AA15" i="4"/>
  <c r="AB15" i="4"/>
  <c r="AC15" i="4"/>
  <c r="AD15" i="4"/>
  <c r="AD26" i="4"/>
  <c r="AE24" i="4"/>
  <c r="AD24" i="4"/>
  <c r="AD20" i="4"/>
  <c r="AD18" i="4"/>
  <c r="AE22" i="4"/>
  <c r="AE16" i="4"/>
  <c r="AD22" i="4"/>
  <c r="AD16" i="4"/>
  <c r="AE26" i="4"/>
  <c r="AE20" i="4"/>
  <c r="AE18" i="4"/>
  <c r="AD14" i="4"/>
  <c r="AE14" i="4"/>
  <c r="AC26" i="4"/>
  <c r="AC24" i="4"/>
  <c r="AC22" i="4"/>
  <c r="AC19" i="4"/>
  <c r="AC18" i="4"/>
  <c r="AC16" i="4"/>
  <c r="AC20" i="4"/>
  <c r="AC14" i="4"/>
  <c r="AB26" i="4"/>
  <c r="AB24" i="4"/>
  <c r="AB22" i="4"/>
  <c r="AB19" i="4"/>
  <c r="AB18" i="4"/>
  <c r="AB16" i="4"/>
  <c r="AB20" i="4"/>
  <c r="AB14" i="4"/>
  <c r="AA26" i="4"/>
  <c r="AA24" i="4"/>
  <c r="AA22" i="4"/>
  <c r="AA19" i="4"/>
  <c r="AA18" i="4"/>
  <c r="AA16" i="4"/>
  <c r="AA20" i="4"/>
  <c r="AA14" i="4"/>
  <c r="AD19" i="4"/>
  <c r="Z26" i="4"/>
  <c r="Z24" i="4"/>
  <c r="Z22" i="4"/>
  <c r="Z19" i="4"/>
  <c r="Z18" i="4"/>
  <c r="Z16" i="4"/>
  <c r="Z20" i="4"/>
  <c r="Z14" i="4"/>
  <c r="AE5" i="4"/>
  <c r="Y26" i="4"/>
  <c r="Y24" i="4"/>
  <c r="Y22" i="4"/>
  <c r="Y19" i="4"/>
  <c r="Y18" i="4"/>
  <c r="Y16" i="4"/>
  <c r="Y20" i="4"/>
  <c r="Y14" i="4"/>
  <c r="X19" i="4"/>
  <c r="L28" i="1" l="1"/>
  <c r="L6" i="1" s="1"/>
  <c r="L17" i="1" s="1"/>
  <c r="E7" i="11" s="1"/>
  <c r="K28" i="1"/>
  <c r="AE4" i="4"/>
  <c r="H33" i="1" s="1"/>
  <c r="G11" i="1" s="1"/>
  <c r="AA4" i="4"/>
  <c r="AC4" i="4"/>
  <c r="H31" i="1" s="1"/>
  <c r="G9" i="1" s="1"/>
  <c r="Z4" i="4"/>
  <c r="H28" i="1" s="1"/>
  <c r="AD4" i="4"/>
  <c r="H32" i="1" s="1"/>
  <c r="G10" i="1" s="1"/>
  <c r="Y4" i="4"/>
  <c r="H27" i="1" s="1"/>
  <c r="G5" i="1" s="1"/>
  <c r="AB4" i="4"/>
  <c r="H30" i="1" s="1"/>
  <c r="G8" i="1" s="1"/>
  <c r="H29" i="1"/>
  <c r="J10" i="1"/>
  <c r="J21" i="1" s="1"/>
  <c r="K7" i="1"/>
  <c r="K18" i="1" s="1"/>
  <c r="D16" i="11" s="1"/>
  <c r="L7" i="1"/>
  <c r="L18" i="1" s="1"/>
  <c r="E16" i="11" s="1"/>
  <c r="L11" i="1"/>
  <c r="L22" i="1" s="1"/>
  <c r="L8" i="1"/>
  <c r="L19" i="1" s="1"/>
  <c r="M9" i="1"/>
  <c r="M20" i="1" s="1"/>
  <c r="J4" i="1"/>
  <c r="J15" i="1" s="1"/>
  <c r="K5" i="1"/>
  <c r="K16" i="1" s="1"/>
  <c r="I5" i="1"/>
  <c r="I16" i="1" s="1"/>
  <c r="M4" i="1"/>
  <c r="M15" i="1" s="1"/>
  <c r="I9" i="1"/>
  <c r="I20" i="1" s="1"/>
  <c r="I7" i="1"/>
  <c r="I18" i="1" s="1"/>
  <c r="B16" i="11" s="1"/>
  <c r="L9" i="1"/>
  <c r="L20" i="1" s="1"/>
  <c r="J5" i="1"/>
  <c r="J16" i="1" s="1"/>
  <c r="I10" i="1"/>
  <c r="I21" i="1" s="1"/>
  <c r="K4" i="1"/>
  <c r="K15" i="1" s="1"/>
  <c r="L5" i="1"/>
  <c r="L16" i="1" s="1"/>
  <c r="K8" i="1"/>
  <c r="K19" i="1" s="1"/>
  <c r="M7" i="1"/>
  <c r="M18" i="1" s="1"/>
  <c r="F16" i="11" s="1"/>
  <c r="I4" i="1"/>
  <c r="I15" i="1" s="1"/>
  <c r="M10" i="1"/>
  <c r="M21" i="1" s="1"/>
  <c r="L4" i="1"/>
  <c r="L15" i="1" s="1"/>
  <c r="J8" i="1"/>
  <c r="J19" i="1" s="1"/>
  <c r="M8" i="1"/>
  <c r="M19" i="1" s="1"/>
  <c r="J11" i="1"/>
  <c r="J22" i="1" s="1"/>
  <c r="K9" i="1"/>
  <c r="K20" i="1" s="1"/>
  <c r="M11" i="1"/>
  <c r="M22" i="1" s="1"/>
  <c r="J7" i="1"/>
  <c r="J18" i="1" s="1"/>
  <c r="C16" i="11" s="1"/>
  <c r="L10" i="1"/>
  <c r="L21" i="1" s="1"/>
  <c r="I11" i="1"/>
  <c r="I22" i="1" s="1"/>
  <c r="I8" i="1"/>
  <c r="I19" i="1" s="1"/>
  <c r="J9" i="1"/>
  <c r="J20" i="1" s="1"/>
  <c r="K10" i="1"/>
  <c r="K21" i="1" s="1"/>
  <c r="M6" i="1"/>
  <c r="M17" i="1" s="1"/>
  <c r="F7" i="11" s="1"/>
  <c r="M5" i="1"/>
  <c r="M16" i="1" s="1"/>
  <c r="X4" i="4"/>
  <c r="H26" i="1" s="1"/>
  <c r="G4" i="1" s="1"/>
  <c r="K6" i="1" l="1"/>
  <c r="G50" i="1"/>
  <c r="O50" i="1"/>
  <c r="U50" i="1" s="1"/>
  <c r="L39" i="1" s="1"/>
  <c r="H10" i="1"/>
  <c r="H21" i="1" s="1"/>
  <c r="H8" i="1"/>
  <c r="H19" i="1" s="1"/>
  <c r="H11" i="1"/>
  <c r="H22" i="1" s="1"/>
  <c r="H5" i="1"/>
  <c r="H16" i="1" s="1"/>
  <c r="H7" i="1"/>
  <c r="H18" i="1" s="1"/>
  <c r="A16" i="11" s="1"/>
  <c r="H4" i="1"/>
  <c r="H15" i="1" s="1"/>
  <c r="G38" i="1"/>
  <c r="G41" i="1"/>
  <c r="G42" i="1"/>
  <c r="G43" i="1"/>
  <c r="G44" i="1"/>
  <c r="G37" i="1"/>
  <c r="K17" i="1" l="1"/>
  <c r="D7" i="11" s="1"/>
  <c r="V50" i="1"/>
  <c r="M39" i="1" s="1"/>
  <c r="Q50" i="1"/>
  <c r="H39" i="1" s="1"/>
  <c r="T50" i="1"/>
  <c r="K39" i="1" s="1"/>
  <c r="H6" i="1"/>
  <c r="H17" i="1" s="1"/>
  <c r="A7" i="11" s="1"/>
  <c r="H9" i="1"/>
  <c r="H20" i="1" s="1"/>
  <c r="G6" i="1" l="1"/>
  <c r="F6" i="1" s="1"/>
  <c r="E6" i="1" s="1"/>
  <c r="D6" i="1" s="1"/>
  <c r="G39" i="1"/>
  <c r="K8" i="3" l="1"/>
  <c r="L8" i="3"/>
  <c r="H8" i="3"/>
  <c r="J8" i="3"/>
  <c r="I8" i="3"/>
  <c r="F8" i="1" l="1"/>
  <c r="E8" i="1" s="1"/>
  <c r="D8" i="1" s="1"/>
  <c r="G51" i="1"/>
  <c r="F4" i="1" l="1"/>
  <c r="E4" i="1" s="1"/>
  <c r="D4" i="1" s="1"/>
  <c r="F9" i="1"/>
  <c r="E9" i="1" s="1"/>
  <c r="D9" i="1" s="1"/>
  <c r="H10" i="3"/>
  <c r="K10" i="3"/>
  <c r="L10" i="3"/>
  <c r="J10" i="3"/>
  <c r="I10" i="3"/>
  <c r="F5" i="1"/>
  <c r="E5" i="1" s="1"/>
  <c r="D5" i="1" s="1"/>
  <c r="F10" i="1"/>
  <c r="E10" i="1" s="1"/>
  <c r="D10" i="1" s="1"/>
  <c r="F11" i="1"/>
  <c r="E11" i="1" s="1"/>
  <c r="D11" i="1" s="1"/>
  <c r="O51" i="1"/>
  <c r="V51" i="1" l="1"/>
  <c r="M40" i="1" s="1"/>
  <c r="R51" i="1"/>
  <c r="J40" i="1" s="1"/>
  <c r="U51" i="1"/>
  <c r="L40" i="1" s="1"/>
  <c r="S51" i="1"/>
  <c r="I40" i="1" s="1"/>
  <c r="T51" i="1"/>
  <c r="K40" i="1" s="1"/>
  <c r="Q51" i="1"/>
  <c r="H40" i="1" s="1"/>
  <c r="L13" i="3"/>
  <c r="H13" i="3"/>
  <c r="J13" i="3"/>
  <c r="K13" i="3"/>
  <c r="I13" i="3"/>
  <c r="J12" i="3"/>
  <c r="K12" i="3"/>
  <c r="H12" i="3"/>
  <c r="L12" i="3"/>
  <c r="I12" i="3"/>
  <c r="I6" i="3"/>
  <c r="H6" i="3"/>
  <c r="L6" i="3"/>
  <c r="K6" i="3"/>
  <c r="J6" i="3"/>
  <c r="H7" i="3"/>
  <c r="I7" i="3"/>
  <c r="L7" i="3"/>
  <c r="J7" i="3"/>
  <c r="K7" i="3"/>
  <c r="J11" i="3"/>
  <c r="K11" i="3"/>
  <c r="H11" i="3"/>
  <c r="L11" i="3"/>
  <c r="I11" i="3"/>
  <c r="G7" i="1" l="1"/>
  <c r="F7" i="1" s="1"/>
  <c r="E7" i="1" s="1"/>
  <c r="D7" i="1" s="1"/>
  <c r="G40" i="1"/>
  <c r="K9" i="3" l="1"/>
  <c r="L9" i="3"/>
  <c r="J9" i="3"/>
  <c r="I9" i="3"/>
  <c r="H9" i="3"/>
</calcChain>
</file>

<file path=xl/sharedStrings.xml><?xml version="1.0" encoding="utf-8"?>
<sst xmlns="http://schemas.openxmlformats.org/spreadsheetml/2006/main" count="2008" uniqueCount="609">
  <si>
    <t>〇</t>
    <phoneticPr fontId="3"/>
  </si>
  <si>
    <t>風災リスク</t>
  </si>
  <si>
    <t>雪災リスク</t>
  </si>
  <si>
    <t>施設の立地危険</t>
  </si>
  <si>
    <t>（ハザード）</t>
  </si>
  <si>
    <t>施設の防災対応度</t>
  </si>
  <si>
    <t>（フラジリティ）</t>
  </si>
  <si>
    <t>地震リスク（地震動）</t>
  </si>
  <si>
    <t>地震リスク（津波）</t>
  </si>
  <si>
    <t>地震リスク（液状化）</t>
  </si>
  <si>
    <t>★</t>
  </si>
  <si>
    <t>☆</t>
  </si>
  <si>
    <t>水災リスク（浸水）</t>
  </si>
  <si>
    <t>水災リスク（土砂災害）</t>
  </si>
  <si>
    <t>落雷リスク</t>
  </si>
  <si>
    <t>火山噴火リスク</t>
  </si>
  <si>
    <t>大項目</t>
    <rPh sb="0" eb="3">
      <t>ダイコウモク</t>
    </rPh>
    <phoneticPr fontId="3"/>
  </si>
  <si>
    <t>※シート②と連動させる</t>
    <rPh sb="6" eb="8">
      <t>レンドウ</t>
    </rPh>
    <phoneticPr fontId="3"/>
  </si>
  <si>
    <t>※シート③と連動させる</t>
    <rPh sb="6" eb="8">
      <t>レンドウ</t>
    </rPh>
    <phoneticPr fontId="3"/>
  </si>
  <si>
    <t>総合評価</t>
    <rPh sb="0" eb="2">
      <t>ソウゴウ</t>
    </rPh>
    <rPh sb="2" eb="4">
      <t>ヒョウカ</t>
    </rPh>
    <phoneticPr fontId="3"/>
  </si>
  <si>
    <t>総合評価（★の数）</t>
    <rPh sb="0" eb="2">
      <t>ソウゴウ</t>
    </rPh>
    <rPh sb="2" eb="4">
      <t>ヒョウカ</t>
    </rPh>
    <rPh sb="7" eb="8">
      <t>カズ</t>
    </rPh>
    <phoneticPr fontId="3"/>
  </si>
  <si>
    <t>＜スコア評価用＞</t>
    <rPh sb="4" eb="7">
      <t>ヒョウカヨウ</t>
    </rPh>
    <phoneticPr fontId="3"/>
  </si>
  <si>
    <t>計</t>
    <rPh sb="0" eb="1">
      <t>ケイ</t>
    </rPh>
    <phoneticPr fontId="3"/>
  </si>
  <si>
    <t>総合点数</t>
    <rPh sb="0" eb="2">
      <t>ソウゴウ</t>
    </rPh>
    <rPh sb="2" eb="4">
      <t>テンスウ</t>
    </rPh>
    <phoneticPr fontId="3"/>
  </si>
  <si>
    <t>＜評点割合表（重みづけ）＞</t>
    <rPh sb="1" eb="3">
      <t>ヒョウテン</t>
    </rPh>
    <rPh sb="3" eb="5">
      <t>ワリアイ</t>
    </rPh>
    <rPh sb="5" eb="6">
      <t>ヒョウ</t>
    </rPh>
    <rPh sb="7" eb="8">
      <t>オモ</t>
    </rPh>
    <phoneticPr fontId="3"/>
  </si>
  <si>
    <t>～</t>
    <phoneticPr fontId="3"/>
  </si>
  <si>
    <t>★</t>
    <phoneticPr fontId="3"/>
  </si>
  <si>
    <t>★★</t>
    <phoneticPr fontId="3"/>
  </si>
  <si>
    <t>★★★</t>
    <phoneticPr fontId="3"/>
  </si>
  <si>
    <t>★★★★</t>
    <phoneticPr fontId="3"/>
  </si>
  <si>
    <t>★★★★★</t>
    <phoneticPr fontId="3"/>
  </si>
  <si>
    <t>＜スコア総合評価閾値＞</t>
    <rPh sb="4" eb="6">
      <t>ソウゴウ</t>
    </rPh>
    <rPh sb="6" eb="8">
      <t>ヒョウカ</t>
    </rPh>
    <rPh sb="8" eb="10">
      <t>シキイチ</t>
    </rPh>
    <phoneticPr fontId="3"/>
  </si>
  <si>
    <t>＜スコアリング連動＞</t>
    <rPh sb="7" eb="9">
      <t>レンドウ</t>
    </rPh>
    <phoneticPr fontId="3"/>
  </si>
  <si>
    <t>※シート③と連動させる、調査対象外の部分は、グレーで背景色網掛け</t>
    <rPh sb="6" eb="8">
      <t>レンドウ</t>
    </rPh>
    <rPh sb="12" eb="14">
      <t>チョウサ</t>
    </rPh>
    <rPh sb="14" eb="16">
      <t>タイショウ</t>
    </rPh>
    <rPh sb="16" eb="17">
      <t>ガイ</t>
    </rPh>
    <rPh sb="18" eb="20">
      <t>ブブン</t>
    </rPh>
    <rPh sb="26" eb="29">
      <t>ハイケイショク</t>
    </rPh>
    <rPh sb="29" eb="31">
      <t>アミカ</t>
    </rPh>
    <phoneticPr fontId="3"/>
  </si>
  <si>
    <t>A</t>
    <phoneticPr fontId="3"/>
  </si>
  <si>
    <t>B</t>
    <phoneticPr fontId="3"/>
  </si>
  <si>
    <t>C</t>
    <phoneticPr fontId="3"/>
  </si>
  <si>
    <t>D</t>
    <phoneticPr fontId="3"/>
  </si>
  <si>
    <t>E</t>
    <phoneticPr fontId="3"/>
  </si>
  <si>
    <t>F</t>
    <phoneticPr fontId="3"/>
  </si>
  <si>
    <t>G</t>
    <phoneticPr fontId="3"/>
  </si>
  <si>
    <t>H</t>
    <phoneticPr fontId="3"/>
  </si>
  <si>
    <t>地震動</t>
    <rPh sb="0" eb="3">
      <t>ジシンドウ</t>
    </rPh>
    <phoneticPr fontId="3"/>
  </si>
  <si>
    <t>津波</t>
    <rPh sb="0" eb="2">
      <t>ツナミ</t>
    </rPh>
    <phoneticPr fontId="3"/>
  </si>
  <si>
    <t>風災</t>
    <rPh sb="0" eb="2">
      <t>フウサイ</t>
    </rPh>
    <phoneticPr fontId="3"/>
  </si>
  <si>
    <t>浸水</t>
    <rPh sb="0" eb="2">
      <t>シンスイ</t>
    </rPh>
    <phoneticPr fontId="3"/>
  </si>
  <si>
    <t>土砂災害</t>
    <rPh sb="0" eb="2">
      <t>ドシャ</t>
    </rPh>
    <rPh sb="2" eb="4">
      <t>サイガイ</t>
    </rPh>
    <phoneticPr fontId="3"/>
  </si>
  <si>
    <t>雪災</t>
    <rPh sb="0" eb="1">
      <t>ユキ</t>
    </rPh>
    <rPh sb="1" eb="2">
      <t>サイ</t>
    </rPh>
    <phoneticPr fontId="3"/>
  </si>
  <si>
    <t>落雷</t>
    <rPh sb="0" eb="2">
      <t>ラクライ</t>
    </rPh>
    <phoneticPr fontId="3"/>
  </si>
  <si>
    <t>火山噴火</t>
    <rPh sb="0" eb="2">
      <t>カザン</t>
    </rPh>
    <rPh sb="2" eb="4">
      <t>フンカ</t>
    </rPh>
    <phoneticPr fontId="3"/>
  </si>
  <si>
    <t>設問</t>
    <rPh sb="0" eb="2">
      <t>セツモン</t>
    </rPh>
    <phoneticPr fontId="3"/>
  </si>
  <si>
    <t>耐震補強を行っていない旧耐震建物（1982年より前の建築建物）がある</t>
    <rPh sb="0" eb="2">
      <t>タイシン</t>
    </rPh>
    <rPh sb="2" eb="4">
      <t>ホキョウ</t>
    </rPh>
    <rPh sb="5" eb="6">
      <t>オコナ</t>
    </rPh>
    <rPh sb="11" eb="12">
      <t>キュウ</t>
    </rPh>
    <rPh sb="12" eb="14">
      <t>タイシン</t>
    </rPh>
    <rPh sb="14" eb="16">
      <t>タテモノ</t>
    </rPh>
    <rPh sb="21" eb="22">
      <t>ネン</t>
    </rPh>
    <rPh sb="24" eb="25">
      <t>マエ</t>
    </rPh>
    <rPh sb="26" eb="28">
      <t>ケンチク</t>
    </rPh>
    <rPh sb="28" eb="30">
      <t>タテモノ</t>
    </rPh>
    <phoneticPr fontId="3"/>
  </si>
  <si>
    <t>点数</t>
    <rPh sb="0" eb="2">
      <t>テンスウ</t>
    </rPh>
    <phoneticPr fontId="3"/>
  </si>
  <si>
    <t>カテゴリ</t>
    <phoneticPr fontId="3"/>
  </si>
  <si>
    <t>屋根が谷状、ノコギリ状の形状となっており、屋根内に雨樋が通っている</t>
    <rPh sb="0" eb="2">
      <t>ヤネ</t>
    </rPh>
    <rPh sb="3" eb="4">
      <t>タニ</t>
    </rPh>
    <rPh sb="4" eb="5">
      <t>ジョウ</t>
    </rPh>
    <rPh sb="10" eb="11">
      <t>ジョウ</t>
    </rPh>
    <rPh sb="12" eb="14">
      <t>ケイジョウ</t>
    </rPh>
    <rPh sb="21" eb="23">
      <t>ヤネ</t>
    </rPh>
    <rPh sb="23" eb="24">
      <t>ナイ</t>
    </rPh>
    <rPh sb="25" eb="27">
      <t>アマドイ</t>
    </rPh>
    <rPh sb="28" eb="29">
      <t>トオ</t>
    </rPh>
    <phoneticPr fontId="3"/>
  </si>
  <si>
    <t>＜係数＞</t>
    <rPh sb="1" eb="3">
      <t>ケイスウ</t>
    </rPh>
    <phoneticPr fontId="3"/>
  </si>
  <si>
    <t>＜評点＞</t>
    <rPh sb="1" eb="3">
      <t>ヒョウテン</t>
    </rPh>
    <phoneticPr fontId="3"/>
  </si>
  <si>
    <t>＜基礎点＞</t>
    <rPh sb="1" eb="3">
      <t>キソ</t>
    </rPh>
    <rPh sb="3" eb="4">
      <t>テン</t>
    </rPh>
    <phoneticPr fontId="3"/>
  </si>
  <si>
    <t>平均的な防災対応度です</t>
    <rPh sb="0" eb="2">
      <t>ヘイキン</t>
    </rPh>
    <rPh sb="2" eb="3">
      <t>テキ</t>
    </rPh>
    <rPh sb="4" eb="6">
      <t>ボウサイ</t>
    </rPh>
    <rPh sb="6" eb="8">
      <t>タイオウ</t>
    </rPh>
    <rPh sb="8" eb="9">
      <t>ド</t>
    </rPh>
    <phoneticPr fontId="3"/>
  </si>
  <si>
    <t>比較的良好な防災対応度です</t>
    <rPh sb="0" eb="3">
      <t>ヒカクテキ</t>
    </rPh>
    <rPh sb="3" eb="5">
      <t>リョウコウ</t>
    </rPh>
    <rPh sb="6" eb="8">
      <t>ボウサイ</t>
    </rPh>
    <rPh sb="8" eb="10">
      <t>タイオウ</t>
    </rPh>
    <rPh sb="10" eb="11">
      <t>ド</t>
    </rPh>
    <phoneticPr fontId="3"/>
  </si>
  <si>
    <t>大変良好な防災対応度です</t>
    <rPh sb="0" eb="2">
      <t>タイヘン</t>
    </rPh>
    <rPh sb="2" eb="4">
      <t>リョウコウ</t>
    </rPh>
    <rPh sb="5" eb="7">
      <t>ボウサイ</t>
    </rPh>
    <rPh sb="7" eb="9">
      <t>タイオウ</t>
    </rPh>
    <rPh sb="9" eb="10">
      <t>ド</t>
    </rPh>
    <phoneticPr fontId="3"/>
  </si>
  <si>
    <t>防災対応の早期実施が必要です</t>
    <rPh sb="0" eb="2">
      <t>ボウサイ</t>
    </rPh>
    <rPh sb="2" eb="4">
      <t>タイオウ</t>
    </rPh>
    <rPh sb="5" eb="7">
      <t>ソウキ</t>
    </rPh>
    <rPh sb="7" eb="9">
      <t>ジッシ</t>
    </rPh>
    <rPh sb="10" eb="12">
      <t>ヒツヨウ</t>
    </rPh>
    <phoneticPr fontId="3"/>
  </si>
  <si>
    <t>防災対応の追加検討が必要です</t>
    <rPh sb="0" eb="2">
      <t>ボウサイ</t>
    </rPh>
    <rPh sb="2" eb="4">
      <t>タイオウ</t>
    </rPh>
    <rPh sb="5" eb="7">
      <t>ツイカ</t>
    </rPh>
    <rPh sb="7" eb="9">
      <t>ケントウ</t>
    </rPh>
    <rPh sb="10" eb="12">
      <t>ヒツヨウ</t>
    </rPh>
    <phoneticPr fontId="3"/>
  </si>
  <si>
    <t>リスク評点</t>
    <rPh sb="3" eb="5">
      <t>ヒョウテン</t>
    </rPh>
    <phoneticPr fontId="3"/>
  </si>
  <si>
    <t>※リスク評点は、各ペリルの最大点数に対する割合で評価</t>
    <rPh sb="4" eb="6">
      <t>ヒョウテン</t>
    </rPh>
    <rPh sb="8" eb="9">
      <t>カク</t>
    </rPh>
    <rPh sb="13" eb="15">
      <t>サイダイ</t>
    </rPh>
    <rPh sb="15" eb="17">
      <t>テンスウ</t>
    </rPh>
    <rPh sb="18" eb="19">
      <t>タイ</t>
    </rPh>
    <rPh sb="21" eb="23">
      <t>ワリアイ</t>
    </rPh>
    <rPh sb="24" eb="26">
      <t>ヒョウカ</t>
    </rPh>
    <phoneticPr fontId="3"/>
  </si>
  <si>
    <t>リスク確認</t>
    <rPh sb="3" eb="5">
      <t>カクニン</t>
    </rPh>
    <phoneticPr fontId="3"/>
  </si>
  <si>
    <t>対策確認</t>
    <rPh sb="0" eb="2">
      <t>タイサク</t>
    </rPh>
    <rPh sb="2" eb="4">
      <t>カクニン</t>
    </rPh>
    <phoneticPr fontId="3"/>
  </si>
  <si>
    <t>雨樋（屋根、庇、屋上）に雑草や落ち葉などによる詰まりが見られる</t>
    <rPh sb="0" eb="2">
      <t>アマドイ</t>
    </rPh>
    <rPh sb="3" eb="5">
      <t>ヤネ</t>
    </rPh>
    <rPh sb="6" eb="7">
      <t>ヒサシ</t>
    </rPh>
    <rPh sb="8" eb="10">
      <t>オクジョウ</t>
    </rPh>
    <rPh sb="12" eb="14">
      <t>ザッソウ</t>
    </rPh>
    <rPh sb="15" eb="16">
      <t>オ</t>
    </rPh>
    <rPh sb="17" eb="18">
      <t>バ</t>
    </rPh>
    <rPh sb="23" eb="24">
      <t>ツ</t>
    </rPh>
    <rPh sb="27" eb="28">
      <t>ミ</t>
    </rPh>
    <phoneticPr fontId="3"/>
  </si>
  <si>
    <t>排水溝に雑草や落ち葉、土砂などによる詰まりが見られる</t>
    <rPh sb="0" eb="3">
      <t>ハイスイコウ</t>
    </rPh>
    <rPh sb="4" eb="6">
      <t>ザッソウ</t>
    </rPh>
    <rPh sb="7" eb="8">
      <t>オ</t>
    </rPh>
    <rPh sb="9" eb="10">
      <t>バ</t>
    </rPh>
    <rPh sb="11" eb="13">
      <t>ドシャ</t>
    </rPh>
    <rPh sb="18" eb="19">
      <t>ツ</t>
    </rPh>
    <rPh sb="22" eb="23">
      <t>ミ</t>
    </rPh>
    <phoneticPr fontId="3"/>
  </si>
  <si>
    <t>〇</t>
    <phoneticPr fontId="3"/>
  </si>
  <si>
    <t>◎該当する</t>
    <rPh sb="1" eb="3">
      <t>ガイトウ</t>
    </rPh>
    <phoneticPr fontId="3"/>
  </si>
  <si>
    <t>〇一部該当する</t>
    <rPh sb="1" eb="3">
      <t>イチブ</t>
    </rPh>
    <rPh sb="3" eb="5">
      <t>ガイトウ</t>
    </rPh>
    <phoneticPr fontId="3"/>
  </si>
  <si>
    <t>×該当しない</t>
    <rPh sb="1" eb="3">
      <t>ガイトウ</t>
    </rPh>
    <phoneticPr fontId="3"/>
  </si>
  <si>
    <t>△不明</t>
    <rPh sb="1" eb="3">
      <t>フメイ</t>
    </rPh>
    <phoneticPr fontId="3"/>
  </si>
  <si>
    <t>雨漏りが発生している</t>
    <rPh sb="0" eb="2">
      <t>アマモ</t>
    </rPh>
    <rPh sb="4" eb="6">
      <t>ハッセイ</t>
    </rPh>
    <phoneticPr fontId="3"/>
  </si>
  <si>
    <t>敷地に面する土地が、敷地内より高い箇所がある</t>
    <rPh sb="0" eb="2">
      <t>シキチ</t>
    </rPh>
    <rPh sb="3" eb="4">
      <t>メン</t>
    </rPh>
    <rPh sb="6" eb="8">
      <t>トチ</t>
    </rPh>
    <rPh sb="10" eb="12">
      <t>シキチ</t>
    </rPh>
    <rPh sb="12" eb="13">
      <t>ナイ</t>
    </rPh>
    <rPh sb="15" eb="16">
      <t>タカ</t>
    </rPh>
    <rPh sb="17" eb="19">
      <t>カショ</t>
    </rPh>
    <phoneticPr fontId="3"/>
  </si>
  <si>
    <t>敷地に河川・水路・海岸が面している（道路を挟む場合も含む）</t>
    <rPh sb="0" eb="2">
      <t>シキチ</t>
    </rPh>
    <rPh sb="3" eb="5">
      <t>カセン</t>
    </rPh>
    <rPh sb="6" eb="8">
      <t>スイロ</t>
    </rPh>
    <rPh sb="9" eb="11">
      <t>カイガン</t>
    </rPh>
    <rPh sb="12" eb="13">
      <t>メン</t>
    </rPh>
    <rPh sb="18" eb="20">
      <t>ドウロ</t>
    </rPh>
    <rPh sb="21" eb="22">
      <t>ハサ</t>
    </rPh>
    <rPh sb="23" eb="25">
      <t>バアイ</t>
    </rPh>
    <rPh sb="26" eb="27">
      <t>フク</t>
    </rPh>
    <phoneticPr fontId="3"/>
  </si>
  <si>
    <t>対象施設</t>
    <rPh sb="0" eb="2">
      <t>タイショウ</t>
    </rPh>
    <rPh sb="2" eb="4">
      <t>シセツ</t>
    </rPh>
    <phoneticPr fontId="3"/>
  </si>
  <si>
    <t>ヒアリングシート記載</t>
    <phoneticPr fontId="3"/>
  </si>
  <si>
    <t>調査方法</t>
    <rPh sb="0" eb="2">
      <t>チョウサ</t>
    </rPh>
    <rPh sb="2" eb="4">
      <t>ホウホウ</t>
    </rPh>
    <phoneticPr fontId="3"/>
  </si>
  <si>
    <t>製造事業所</t>
    <rPh sb="0" eb="2">
      <t>セイゾウ</t>
    </rPh>
    <rPh sb="2" eb="5">
      <t>ジギョウショ</t>
    </rPh>
    <phoneticPr fontId="3"/>
  </si>
  <si>
    <t>物流施設</t>
    <rPh sb="0" eb="2">
      <t>ブツリュウ</t>
    </rPh>
    <rPh sb="2" eb="4">
      <t>シセツ</t>
    </rPh>
    <phoneticPr fontId="3"/>
  </si>
  <si>
    <t>一般施設</t>
    <rPh sb="0" eb="2">
      <t>イッパン</t>
    </rPh>
    <rPh sb="2" eb="4">
      <t>シセツ</t>
    </rPh>
    <phoneticPr fontId="3"/>
  </si>
  <si>
    <t>1階床高が周囲の構内道路より低い建物がある</t>
    <rPh sb="1" eb="2">
      <t>カイ</t>
    </rPh>
    <rPh sb="2" eb="3">
      <t>ユカ</t>
    </rPh>
    <rPh sb="3" eb="4">
      <t>ダカ</t>
    </rPh>
    <rPh sb="5" eb="7">
      <t>シュウイ</t>
    </rPh>
    <rPh sb="8" eb="10">
      <t>コウナイ</t>
    </rPh>
    <rPh sb="10" eb="12">
      <t>ドウロ</t>
    </rPh>
    <rPh sb="14" eb="15">
      <t>ヒク</t>
    </rPh>
    <rPh sb="16" eb="18">
      <t>タテモノ</t>
    </rPh>
    <phoneticPr fontId="3"/>
  </si>
  <si>
    <t>1階床高が周囲の構内道路とあまり高低差がない（±30cm程度以内）建物がある</t>
    <rPh sb="1" eb="2">
      <t>カイ</t>
    </rPh>
    <rPh sb="2" eb="3">
      <t>ユカ</t>
    </rPh>
    <rPh sb="3" eb="4">
      <t>ダカ</t>
    </rPh>
    <rPh sb="5" eb="7">
      <t>シュウイ</t>
    </rPh>
    <rPh sb="8" eb="10">
      <t>コウナイ</t>
    </rPh>
    <rPh sb="10" eb="12">
      <t>ドウロ</t>
    </rPh>
    <rPh sb="16" eb="19">
      <t>コウテイサ</t>
    </rPh>
    <rPh sb="28" eb="30">
      <t>テイド</t>
    </rPh>
    <rPh sb="30" eb="32">
      <t>イナイ</t>
    </rPh>
    <rPh sb="33" eb="35">
      <t>タテモノ</t>
    </rPh>
    <phoneticPr fontId="3"/>
  </si>
  <si>
    <t>屋根は落雪型（傾斜の大きい屋根）ではないが、構造上、雪下ろしの作業は難しい</t>
    <rPh sb="0" eb="2">
      <t>ヤネ</t>
    </rPh>
    <rPh sb="3" eb="5">
      <t>ラクセツ</t>
    </rPh>
    <rPh sb="5" eb="6">
      <t>ガタ</t>
    </rPh>
    <rPh sb="7" eb="9">
      <t>ケイシャ</t>
    </rPh>
    <rPh sb="10" eb="11">
      <t>オオ</t>
    </rPh>
    <rPh sb="13" eb="15">
      <t>ヤネ</t>
    </rPh>
    <rPh sb="22" eb="24">
      <t>コウゾウ</t>
    </rPh>
    <rPh sb="24" eb="25">
      <t>ジョウ</t>
    </rPh>
    <rPh sb="26" eb="28">
      <t>ユキオ</t>
    </rPh>
    <rPh sb="31" eb="33">
      <t>サギョウ</t>
    </rPh>
    <rPh sb="34" eb="35">
      <t>ムズカ</t>
    </rPh>
    <phoneticPr fontId="3"/>
  </si>
  <si>
    <t>屋根の構造が複雑であり、雪が溜まりやすい箇所がある</t>
    <rPh sb="0" eb="2">
      <t>ヤネ</t>
    </rPh>
    <rPh sb="3" eb="5">
      <t>コウゾウ</t>
    </rPh>
    <rPh sb="6" eb="8">
      <t>フクザツ</t>
    </rPh>
    <rPh sb="12" eb="13">
      <t>ユキ</t>
    </rPh>
    <rPh sb="14" eb="15">
      <t>タ</t>
    </rPh>
    <rPh sb="20" eb="22">
      <t>カショ</t>
    </rPh>
    <phoneticPr fontId="3"/>
  </si>
  <si>
    <t>雪庇により歪みやすい屋根、庇がある</t>
    <rPh sb="0" eb="2">
      <t>セッピ</t>
    </rPh>
    <rPh sb="5" eb="6">
      <t>ユガ</t>
    </rPh>
    <rPh sb="10" eb="12">
      <t>ヤネ</t>
    </rPh>
    <rPh sb="13" eb="14">
      <t>ヒサシ</t>
    </rPh>
    <phoneticPr fontId="3"/>
  </si>
  <si>
    <t>屋根や軒先に、融雪ヒーターや散水設備を設置しており雪を溜めにくくしている</t>
    <rPh sb="0" eb="2">
      <t>ヤネ</t>
    </rPh>
    <rPh sb="3" eb="5">
      <t>ノキサキ</t>
    </rPh>
    <rPh sb="7" eb="9">
      <t>ユウセツ</t>
    </rPh>
    <rPh sb="14" eb="16">
      <t>サンスイ</t>
    </rPh>
    <rPh sb="16" eb="18">
      <t>セツビ</t>
    </rPh>
    <rPh sb="19" eb="21">
      <t>セッチ</t>
    </rPh>
    <rPh sb="25" eb="26">
      <t>ユキ</t>
    </rPh>
    <rPh sb="27" eb="28">
      <t>タ</t>
    </rPh>
    <phoneticPr fontId="3"/>
  </si>
  <si>
    <t>◎実施している</t>
    <rPh sb="1" eb="3">
      <t>ジッシ</t>
    </rPh>
    <phoneticPr fontId="3"/>
  </si>
  <si>
    <t>〇一部実施している</t>
    <rPh sb="1" eb="3">
      <t>イチブ</t>
    </rPh>
    <rPh sb="3" eb="5">
      <t>ジッシ</t>
    </rPh>
    <phoneticPr fontId="3"/>
  </si>
  <si>
    <t>×実施していない</t>
    <rPh sb="1" eb="3">
      <t>ジッシ</t>
    </rPh>
    <phoneticPr fontId="3"/>
  </si>
  <si>
    <t>□不要、対象外</t>
    <rPh sb="1" eb="3">
      <t>フヨウ</t>
    </rPh>
    <rPh sb="4" eb="7">
      <t>タイショウガイ</t>
    </rPh>
    <phoneticPr fontId="3"/>
  </si>
  <si>
    <t>選択肢</t>
    <rPh sb="0" eb="3">
      <t>センタクシ</t>
    </rPh>
    <phoneticPr fontId="3"/>
  </si>
  <si>
    <t>リスク確認設問用</t>
    <rPh sb="3" eb="5">
      <t>カクニン</t>
    </rPh>
    <rPh sb="5" eb="7">
      <t>セツモン</t>
    </rPh>
    <rPh sb="7" eb="8">
      <t>ヨウ</t>
    </rPh>
    <phoneticPr fontId="3"/>
  </si>
  <si>
    <t>対策確認設問用</t>
    <rPh sb="0" eb="2">
      <t>タイサク</t>
    </rPh>
    <rPh sb="2" eb="4">
      <t>カクニン</t>
    </rPh>
    <rPh sb="4" eb="6">
      <t>セツモン</t>
    </rPh>
    <rPh sb="6" eb="7">
      <t>ヨウ</t>
    </rPh>
    <phoneticPr fontId="3"/>
  </si>
  <si>
    <t>天井の耐震対策を実施している</t>
    <rPh sb="0" eb="2">
      <t>テンジョウ</t>
    </rPh>
    <rPh sb="3" eb="5">
      <t>タイシン</t>
    </rPh>
    <rPh sb="5" eb="7">
      <t>タイサク</t>
    </rPh>
    <rPh sb="8" eb="10">
      <t>ジッシ</t>
    </rPh>
    <phoneticPr fontId="3"/>
  </si>
  <si>
    <t>ショーウィンドー等の大型のガラス張りの箇所がある</t>
    <rPh sb="8" eb="9">
      <t>ナド</t>
    </rPh>
    <rPh sb="10" eb="12">
      <t>オオガタ</t>
    </rPh>
    <rPh sb="16" eb="17">
      <t>バ</t>
    </rPh>
    <rPh sb="19" eb="21">
      <t>カショ</t>
    </rPh>
    <phoneticPr fontId="3"/>
  </si>
  <si>
    <t>窓ガラスに飛散防止フィルムを貼っている</t>
    <rPh sb="0" eb="1">
      <t>マド</t>
    </rPh>
    <rPh sb="5" eb="7">
      <t>ヒサン</t>
    </rPh>
    <rPh sb="7" eb="9">
      <t>ボウシ</t>
    </rPh>
    <rPh sb="14" eb="15">
      <t>ハ</t>
    </rPh>
    <phoneticPr fontId="3"/>
  </si>
  <si>
    <t>地盤改良による液状化・地盤沈下対策を行っている</t>
    <rPh sb="0" eb="2">
      <t>ジバン</t>
    </rPh>
    <rPh sb="2" eb="4">
      <t>カイリョウ</t>
    </rPh>
    <rPh sb="7" eb="10">
      <t>エキジョウカ</t>
    </rPh>
    <rPh sb="11" eb="13">
      <t>ジバン</t>
    </rPh>
    <rPh sb="13" eb="15">
      <t>チンカ</t>
    </rPh>
    <rPh sb="15" eb="17">
      <t>タイサク</t>
    </rPh>
    <rPh sb="18" eb="19">
      <t>オコナ</t>
    </rPh>
    <phoneticPr fontId="3"/>
  </si>
  <si>
    <t>建物は杭基礎構造となっており、良好な地盤まで杭が届いている</t>
    <rPh sb="0" eb="2">
      <t>タテモノ</t>
    </rPh>
    <rPh sb="3" eb="4">
      <t>クイ</t>
    </rPh>
    <rPh sb="4" eb="6">
      <t>キソ</t>
    </rPh>
    <rPh sb="6" eb="8">
      <t>コウゾウ</t>
    </rPh>
    <rPh sb="15" eb="17">
      <t>リョウコウ</t>
    </rPh>
    <rPh sb="18" eb="20">
      <t>ジバン</t>
    </rPh>
    <rPh sb="22" eb="23">
      <t>クイ</t>
    </rPh>
    <rPh sb="24" eb="25">
      <t>トド</t>
    </rPh>
    <phoneticPr fontId="3"/>
  </si>
  <si>
    <t>建物床面の不陸対策を行っている</t>
    <rPh sb="0" eb="2">
      <t>タテモノ</t>
    </rPh>
    <rPh sb="2" eb="4">
      <t>ユカメン</t>
    </rPh>
    <rPh sb="5" eb="7">
      <t>フリク</t>
    </rPh>
    <rPh sb="7" eb="9">
      <t>タイサク</t>
    </rPh>
    <rPh sb="10" eb="11">
      <t>オコナ</t>
    </rPh>
    <phoneticPr fontId="3"/>
  </si>
  <si>
    <t>筋交い（ブレース）により耐震強度を向上させている</t>
    <rPh sb="0" eb="2">
      <t>スジカ</t>
    </rPh>
    <rPh sb="12" eb="14">
      <t>タイシン</t>
    </rPh>
    <rPh sb="14" eb="16">
      <t>キョウド</t>
    </rPh>
    <rPh sb="17" eb="19">
      <t>コウジョウ</t>
    </rPh>
    <phoneticPr fontId="3"/>
  </si>
  <si>
    <t>デフォルト値(未入力の場合)</t>
    <rPh sb="5" eb="6">
      <t>チ</t>
    </rPh>
    <phoneticPr fontId="3"/>
  </si>
  <si>
    <t>(サブ質問)</t>
    <rPh sb="3" eb="5">
      <t>シツモン</t>
    </rPh>
    <phoneticPr fontId="3"/>
  </si>
  <si>
    <t>図面</t>
    <rPh sb="0" eb="2">
      <t>ズメン</t>
    </rPh>
    <phoneticPr fontId="3"/>
  </si>
  <si>
    <t>合計点数</t>
    <rPh sb="0" eb="2">
      <t>ゴウケイ</t>
    </rPh>
    <rPh sb="2" eb="4">
      <t>テンスウ</t>
    </rPh>
    <phoneticPr fontId="3"/>
  </si>
  <si>
    <t>ガス設備は、感震器との連動で緊急遮断する</t>
    <rPh sb="2" eb="4">
      <t>セツビ</t>
    </rPh>
    <rPh sb="6" eb="9">
      <t>カンシンキ</t>
    </rPh>
    <rPh sb="11" eb="13">
      <t>レンドウ</t>
    </rPh>
    <rPh sb="14" eb="16">
      <t>キンキュウ</t>
    </rPh>
    <rPh sb="16" eb="18">
      <t>シャダン</t>
    </rPh>
    <phoneticPr fontId="3"/>
  </si>
  <si>
    <t>サーバーなど基幹コンピュータ設備に免震ラックを設置している</t>
    <rPh sb="6" eb="8">
      <t>キカン</t>
    </rPh>
    <rPh sb="14" eb="16">
      <t>セツビ</t>
    </rPh>
    <rPh sb="17" eb="18">
      <t>マヌガ</t>
    </rPh>
    <rPh sb="23" eb="25">
      <t>セッチ</t>
    </rPh>
    <phoneticPr fontId="3"/>
  </si>
  <si>
    <t>コンピュータ室・サーバー室のシステムやデータは同時被災しない別の場所にバックアップを行っている</t>
    <rPh sb="6" eb="7">
      <t>シツ</t>
    </rPh>
    <rPh sb="12" eb="13">
      <t>シツ</t>
    </rPh>
    <rPh sb="23" eb="25">
      <t>ドウジ</t>
    </rPh>
    <rPh sb="25" eb="27">
      <t>ヒサイ</t>
    </rPh>
    <rPh sb="30" eb="31">
      <t>ベツ</t>
    </rPh>
    <rPh sb="32" eb="34">
      <t>バショ</t>
    </rPh>
    <rPh sb="42" eb="43">
      <t>オコナ</t>
    </rPh>
    <phoneticPr fontId="3"/>
  </si>
  <si>
    <t>９．その他、加点・減点要素</t>
    <rPh sb="4" eb="5">
      <t>ホカ</t>
    </rPh>
    <rPh sb="6" eb="8">
      <t>カテン</t>
    </rPh>
    <rPh sb="9" eb="11">
      <t>ゲンテン</t>
    </rPh>
    <rPh sb="11" eb="13">
      <t>ヨウソ</t>
    </rPh>
    <phoneticPr fontId="3"/>
  </si>
  <si>
    <t>天井から吊り下げたケーブルラックや照明などを固定している</t>
    <rPh sb="0" eb="2">
      <t>テンジョウ</t>
    </rPh>
    <rPh sb="4" eb="5">
      <t>ツ</t>
    </rPh>
    <rPh sb="6" eb="7">
      <t>サ</t>
    </rPh>
    <rPh sb="17" eb="19">
      <t>ショウメイ</t>
    </rPh>
    <rPh sb="22" eb="24">
      <t>コテイ</t>
    </rPh>
    <phoneticPr fontId="3"/>
  </si>
  <si>
    <t>毎年、定期的に雨水排水設備・系統の定期点検を行っている</t>
    <rPh sb="0" eb="2">
      <t>マイトシ</t>
    </rPh>
    <rPh sb="3" eb="6">
      <t>テイキテキ</t>
    </rPh>
    <rPh sb="7" eb="9">
      <t>ウスイ</t>
    </rPh>
    <rPh sb="9" eb="11">
      <t>ハイスイ</t>
    </rPh>
    <rPh sb="11" eb="13">
      <t>セツビ</t>
    </rPh>
    <rPh sb="14" eb="16">
      <t>ケイトウ</t>
    </rPh>
    <rPh sb="17" eb="19">
      <t>テイキ</t>
    </rPh>
    <rPh sb="19" eb="21">
      <t>テンケン</t>
    </rPh>
    <rPh sb="22" eb="23">
      <t>オコナ</t>
    </rPh>
    <phoneticPr fontId="3"/>
  </si>
  <si>
    <t>毎年、定期的に雨水排水設備・系統の清掃を行っている</t>
    <rPh sb="0" eb="2">
      <t>マイトシ</t>
    </rPh>
    <rPh sb="3" eb="6">
      <t>テイキテキ</t>
    </rPh>
    <rPh sb="7" eb="9">
      <t>ウスイ</t>
    </rPh>
    <rPh sb="9" eb="11">
      <t>ハイスイ</t>
    </rPh>
    <rPh sb="11" eb="13">
      <t>セツビ</t>
    </rPh>
    <rPh sb="14" eb="16">
      <t>ケイトウ</t>
    </rPh>
    <rPh sb="17" eb="19">
      <t>セイソウ</t>
    </rPh>
    <rPh sb="20" eb="21">
      <t>オコナ</t>
    </rPh>
    <phoneticPr fontId="3"/>
  </si>
  <si>
    <t>サーバーなど基幹コンピュータ設備に耐震ラックを設置している</t>
    <rPh sb="6" eb="8">
      <t>キカン</t>
    </rPh>
    <rPh sb="14" eb="16">
      <t>セツビ</t>
    </rPh>
    <rPh sb="17" eb="19">
      <t>タイシン</t>
    </rPh>
    <rPh sb="23" eb="25">
      <t>セッチ</t>
    </rPh>
    <phoneticPr fontId="3"/>
  </si>
  <si>
    <t>コンピュータ室・サーバー室のフリーアクセスフロア（OAフロア）の耐震対策を行っている</t>
    <rPh sb="6" eb="7">
      <t>シツ</t>
    </rPh>
    <rPh sb="12" eb="13">
      <t>シツ</t>
    </rPh>
    <rPh sb="32" eb="34">
      <t>タイシン</t>
    </rPh>
    <rPh sb="34" eb="36">
      <t>タイサク</t>
    </rPh>
    <rPh sb="37" eb="38">
      <t>オコナ</t>
    </rPh>
    <phoneticPr fontId="3"/>
  </si>
  <si>
    <t>※未運用</t>
    <rPh sb="1" eb="4">
      <t>ミウンヨウ</t>
    </rPh>
    <phoneticPr fontId="3"/>
  </si>
  <si>
    <t>対象とする自然災害</t>
    <rPh sb="0" eb="2">
      <t>タイショウ</t>
    </rPh>
    <rPh sb="5" eb="7">
      <t>シゼン</t>
    </rPh>
    <rPh sb="7" eb="9">
      <t>サイガイ</t>
    </rPh>
    <phoneticPr fontId="3"/>
  </si>
  <si>
    <t>（ペリル）</t>
    <phoneticPr fontId="3"/>
  </si>
  <si>
    <t>調査対象</t>
    <rPh sb="0" eb="2">
      <t>チョウサ</t>
    </rPh>
    <rPh sb="2" eb="4">
      <t>タイショウ</t>
    </rPh>
    <phoneticPr fontId="3"/>
  </si>
  <si>
    <t>〇</t>
    <phoneticPr fontId="3"/>
  </si>
  <si>
    <t>1_01</t>
    <phoneticPr fontId="3"/>
  </si>
  <si>
    <t>カゴ車、台車、キャスター付き什器などの固定対策を実施している</t>
    <rPh sb="2" eb="3">
      <t>クルマ</t>
    </rPh>
    <rPh sb="4" eb="6">
      <t>ダイシャ</t>
    </rPh>
    <rPh sb="12" eb="13">
      <t>ツ</t>
    </rPh>
    <rPh sb="14" eb="16">
      <t>ジュウキ</t>
    </rPh>
    <rPh sb="19" eb="21">
      <t>コテイ</t>
    </rPh>
    <rPh sb="21" eb="23">
      <t>タイサク</t>
    </rPh>
    <rPh sb="24" eb="26">
      <t>ジッシ</t>
    </rPh>
    <phoneticPr fontId="3"/>
  </si>
  <si>
    <t>パレットや荷物の積み上げ高さを制限するルールを運用している</t>
    <rPh sb="5" eb="7">
      <t>ニモツ</t>
    </rPh>
    <rPh sb="8" eb="9">
      <t>ツ</t>
    </rPh>
    <rPh sb="10" eb="11">
      <t>ア</t>
    </rPh>
    <rPh sb="12" eb="13">
      <t>ダカ</t>
    </rPh>
    <rPh sb="15" eb="17">
      <t>セイゲン</t>
    </rPh>
    <rPh sb="23" eb="25">
      <t>ウンヨウ</t>
    </rPh>
    <phoneticPr fontId="3"/>
  </si>
  <si>
    <t>棚・ラック類は固定対策を行っている</t>
    <rPh sb="0" eb="1">
      <t>タナ</t>
    </rPh>
    <rPh sb="5" eb="6">
      <t>ルイ</t>
    </rPh>
    <rPh sb="7" eb="9">
      <t>コテイ</t>
    </rPh>
    <rPh sb="9" eb="11">
      <t>タイサク</t>
    </rPh>
    <rPh sb="12" eb="13">
      <t>オコナ</t>
    </rPh>
    <phoneticPr fontId="3"/>
  </si>
  <si>
    <t>通信基幹設備が損傷した場合の代替手段（衛星電話など）がある</t>
    <rPh sb="0" eb="2">
      <t>ツウシン</t>
    </rPh>
    <rPh sb="2" eb="4">
      <t>キカン</t>
    </rPh>
    <rPh sb="4" eb="6">
      <t>セツビ</t>
    </rPh>
    <rPh sb="7" eb="9">
      <t>ソンショウ</t>
    </rPh>
    <rPh sb="11" eb="13">
      <t>バアイ</t>
    </rPh>
    <rPh sb="14" eb="16">
      <t>ダイタイ</t>
    </rPh>
    <rPh sb="16" eb="18">
      <t>シュダン</t>
    </rPh>
    <rPh sb="19" eb="21">
      <t>エイセイ</t>
    </rPh>
    <rPh sb="21" eb="23">
      <t>デンワ</t>
    </rPh>
    <phoneticPr fontId="3"/>
  </si>
  <si>
    <t>屋根や外壁周りの配管類に、凍結防止対策を行っている</t>
    <rPh sb="0" eb="2">
      <t>ヤネ</t>
    </rPh>
    <rPh sb="3" eb="5">
      <t>ガイヘキ</t>
    </rPh>
    <rPh sb="5" eb="6">
      <t>マワ</t>
    </rPh>
    <rPh sb="8" eb="10">
      <t>ハイカン</t>
    </rPh>
    <rPh sb="10" eb="11">
      <t>ルイ</t>
    </rPh>
    <rPh sb="13" eb="15">
      <t>トウケツ</t>
    </rPh>
    <rPh sb="15" eb="17">
      <t>ボウシ</t>
    </rPh>
    <rPh sb="17" eb="19">
      <t>タイサク</t>
    </rPh>
    <rPh sb="20" eb="21">
      <t>オコナ</t>
    </rPh>
    <phoneticPr fontId="3"/>
  </si>
  <si>
    <t>固定対策が十分でない生産設備や重要資産がある</t>
    <rPh sb="0" eb="2">
      <t>コテイ</t>
    </rPh>
    <rPh sb="2" eb="4">
      <t>タイサク</t>
    </rPh>
    <rPh sb="5" eb="7">
      <t>ジュウブン</t>
    </rPh>
    <rPh sb="10" eb="12">
      <t>セイサン</t>
    </rPh>
    <rPh sb="12" eb="14">
      <t>セツビ</t>
    </rPh>
    <rPh sb="15" eb="17">
      <t>ジュウヨウ</t>
    </rPh>
    <rPh sb="17" eb="19">
      <t>シサン</t>
    </rPh>
    <phoneticPr fontId="3"/>
  </si>
  <si>
    <t>計測地震防災システム、または感震器と連動して停止する重要設備がある</t>
    <rPh sb="0" eb="2">
      <t>ケイソク</t>
    </rPh>
    <rPh sb="2" eb="4">
      <t>ジシン</t>
    </rPh>
    <rPh sb="4" eb="6">
      <t>ボウサイ</t>
    </rPh>
    <rPh sb="14" eb="17">
      <t>カンシンキ</t>
    </rPh>
    <rPh sb="18" eb="20">
      <t>レンドウ</t>
    </rPh>
    <rPh sb="22" eb="24">
      <t>テイシ</t>
    </rPh>
    <rPh sb="26" eb="28">
      <t>ジュウヨウ</t>
    </rPh>
    <rPh sb="28" eb="30">
      <t>セツビ</t>
    </rPh>
    <phoneticPr fontId="3"/>
  </si>
  <si>
    <t>緊急地震速報と連動して停止する重要設備がある</t>
    <rPh sb="0" eb="2">
      <t>キンキュウ</t>
    </rPh>
    <rPh sb="2" eb="4">
      <t>ジシン</t>
    </rPh>
    <rPh sb="4" eb="6">
      <t>ソクホウ</t>
    </rPh>
    <rPh sb="7" eb="9">
      <t>レンドウ</t>
    </rPh>
    <rPh sb="11" eb="13">
      <t>テイシ</t>
    </rPh>
    <rPh sb="15" eb="17">
      <t>ジュウヨウ</t>
    </rPh>
    <rPh sb="17" eb="19">
      <t>セツビ</t>
    </rPh>
    <phoneticPr fontId="3"/>
  </si>
  <si>
    <t>水災時に帰宅困難となる従業員・施設来訪者人数分の防災備蓄品を用意している</t>
    <rPh sb="0" eb="2">
      <t>スイサイ</t>
    </rPh>
    <rPh sb="2" eb="3">
      <t>ジ</t>
    </rPh>
    <rPh sb="4" eb="6">
      <t>キタク</t>
    </rPh>
    <rPh sb="6" eb="8">
      <t>コンナン</t>
    </rPh>
    <rPh sb="11" eb="14">
      <t>ジュウギョウイン</t>
    </rPh>
    <rPh sb="15" eb="17">
      <t>シセツ</t>
    </rPh>
    <rPh sb="17" eb="20">
      <t>ライホウシャ</t>
    </rPh>
    <rPh sb="20" eb="23">
      <t>ニンズウブン</t>
    </rPh>
    <rPh sb="24" eb="26">
      <t>ボウサイ</t>
    </rPh>
    <rPh sb="26" eb="28">
      <t>ビチク</t>
    </rPh>
    <rPh sb="28" eb="29">
      <t>ヒン</t>
    </rPh>
    <rPh sb="30" eb="32">
      <t>ヨウイ</t>
    </rPh>
    <phoneticPr fontId="3"/>
  </si>
  <si>
    <t>地震時に帰宅困難となる従業員・施設来訪者の数分の防災備蓄品を用意している</t>
    <rPh sb="0" eb="3">
      <t>ジシンジ</t>
    </rPh>
    <rPh sb="4" eb="6">
      <t>キタク</t>
    </rPh>
    <rPh sb="6" eb="8">
      <t>コンナン</t>
    </rPh>
    <rPh sb="11" eb="14">
      <t>ジュウギョウイン</t>
    </rPh>
    <rPh sb="15" eb="17">
      <t>シセツ</t>
    </rPh>
    <rPh sb="17" eb="20">
      <t>ライホウシャ</t>
    </rPh>
    <rPh sb="21" eb="23">
      <t>スウフン</t>
    </rPh>
    <rPh sb="24" eb="26">
      <t>ボウサイ</t>
    </rPh>
    <rPh sb="26" eb="28">
      <t>ビチク</t>
    </rPh>
    <rPh sb="28" eb="29">
      <t>ヒン</t>
    </rPh>
    <rPh sb="30" eb="32">
      <t>ヨウイ</t>
    </rPh>
    <phoneticPr fontId="3"/>
  </si>
  <si>
    <t>敷地内、または建物内の浸水を低減する排水ポンプを設置している</t>
    <rPh sb="0" eb="2">
      <t>シキチ</t>
    </rPh>
    <rPh sb="2" eb="3">
      <t>ナイ</t>
    </rPh>
    <rPh sb="7" eb="9">
      <t>タテモノ</t>
    </rPh>
    <rPh sb="9" eb="10">
      <t>ナイ</t>
    </rPh>
    <rPh sb="11" eb="13">
      <t>シンスイ</t>
    </rPh>
    <rPh sb="14" eb="16">
      <t>テイゲン</t>
    </rPh>
    <rPh sb="18" eb="20">
      <t>ハイスイ</t>
    </rPh>
    <rPh sb="24" eb="26">
      <t>セッチ</t>
    </rPh>
    <phoneticPr fontId="3"/>
  </si>
  <si>
    <t>浸水が予想される際は、事前に収容品を高い場所に移動させる運用となっている</t>
    <rPh sb="0" eb="2">
      <t>シンスイ</t>
    </rPh>
    <rPh sb="3" eb="5">
      <t>ヨソウ</t>
    </rPh>
    <rPh sb="8" eb="9">
      <t>サイ</t>
    </rPh>
    <rPh sb="11" eb="13">
      <t>ジゼン</t>
    </rPh>
    <rPh sb="14" eb="16">
      <t>シュウヨウ</t>
    </rPh>
    <rPh sb="16" eb="17">
      <t>ヒン</t>
    </rPh>
    <rPh sb="18" eb="19">
      <t>タカ</t>
    </rPh>
    <rPh sb="20" eb="22">
      <t>バショ</t>
    </rPh>
    <rPh sb="23" eb="25">
      <t>イドウ</t>
    </rPh>
    <rPh sb="28" eb="30">
      <t>ウンヨウ</t>
    </rPh>
    <phoneticPr fontId="3"/>
  </si>
  <si>
    <t>2_10</t>
  </si>
  <si>
    <t>2_11</t>
  </si>
  <si>
    <t>2_12</t>
  </si>
  <si>
    <t>3_01</t>
    <phoneticPr fontId="3"/>
  </si>
  <si>
    <t>2_02</t>
  </si>
  <si>
    <t>2_03</t>
  </si>
  <si>
    <t>2_04</t>
  </si>
  <si>
    <t>2_05</t>
  </si>
  <si>
    <t>2_06</t>
  </si>
  <si>
    <t>2_07</t>
  </si>
  <si>
    <t>2_08</t>
  </si>
  <si>
    <t>2_09</t>
  </si>
  <si>
    <t>4_02</t>
  </si>
  <si>
    <t>4_03</t>
  </si>
  <si>
    <t>4_04</t>
  </si>
  <si>
    <t>4_05</t>
  </si>
  <si>
    <t>5_02</t>
  </si>
  <si>
    <t>5_03</t>
  </si>
  <si>
    <t>5_04</t>
  </si>
  <si>
    <t>雪庇取り、つらら落としなどの屋根・庇の雪落とし用の備品を用意している</t>
    <rPh sb="0" eb="2">
      <t>セッピ</t>
    </rPh>
    <rPh sb="2" eb="3">
      <t>ト</t>
    </rPh>
    <rPh sb="8" eb="9">
      <t>オ</t>
    </rPh>
    <rPh sb="14" eb="16">
      <t>ヤネ</t>
    </rPh>
    <rPh sb="17" eb="18">
      <t>ヒサシ</t>
    </rPh>
    <rPh sb="19" eb="20">
      <t>ユキ</t>
    </rPh>
    <rPh sb="20" eb="21">
      <t>オ</t>
    </rPh>
    <rPh sb="23" eb="24">
      <t>ヨウ</t>
    </rPh>
    <rPh sb="25" eb="27">
      <t>ビヒン</t>
    </rPh>
    <rPh sb="28" eb="30">
      <t>ヨウイ</t>
    </rPh>
    <phoneticPr fontId="3"/>
  </si>
  <si>
    <t>土嚢は劣化が進まないよう、専用保管庫に保管、または風雨を受けにくい保管方法としている</t>
    <rPh sb="0" eb="2">
      <t>ドノウ</t>
    </rPh>
    <rPh sb="3" eb="5">
      <t>レッカ</t>
    </rPh>
    <rPh sb="6" eb="7">
      <t>スス</t>
    </rPh>
    <rPh sb="13" eb="15">
      <t>センヨウ</t>
    </rPh>
    <rPh sb="15" eb="17">
      <t>ホカン</t>
    </rPh>
    <rPh sb="17" eb="18">
      <t>コ</t>
    </rPh>
    <rPh sb="19" eb="21">
      <t>ホカン</t>
    </rPh>
    <rPh sb="25" eb="27">
      <t>フウウ</t>
    </rPh>
    <rPh sb="28" eb="29">
      <t>ウ</t>
    </rPh>
    <rPh sb="33" eb="35">
      <t>ホカン</t>
    </rPh>
    <rPh sb="35" eb="37">
      <t>ホウホウ</t>
    </rPh>
    <phoneticPr fontId="3"/>
  </si>
  <si>
    <t>土嚢などの止水対策資機材は、設置予定場所のすぐ近くに普段から用意している（または、緊急時に移動しやすいよう、土嚢やカゴ車に載せて保管している）</t>
    <rPh sb="0" eb="2">
      <t>ドノウ</t>
    </rPh>
    <rPh sb="5" eb="7">
      <t>シスイ</t>
    </rPh>
    <rPh sb="7" eb="9">
      <t>タイサク</t>
    </rPh>
    <rPh sb="9" eb="12">
      <t>シキザイ</t>
    </rPh>
    <rPh sb="14" eb="16">
      <t>セッチ</t>
    </rPh>
    <rPh sb="16" eb="18">
      <t>ヨテイ</t>
    </rPh>
    <rPh sb="18" eb="20">
      <t>バショ</t>
    </rPh>
    <rPh sb="23" eb="24">
      <t>チカ</t>
    </rPh>
    <rPh sb="26" eb="28">
      <t>フダン</t>
    </rPh>
    <rPh sb="30" eb="32">
      <t>ヨウイ</t>
    </rPh>
    <rPh sb="41" eb="44">
      <t>キンキュウジ</t>
    </rPh>
    <rPh sb="45" eb="47">
      <t>イドウ</t>
    </rPh>
    <rPh sb="54" eb="56">
      <t>ドノウ</t>
    </rPh>
    <rPh sb="59" eb="60">
      <t>クルマ</t>
    </rPh>
    <rPh sb="61" eb="62">
      <t>ノ</t>
    </rPh>
    <rPh sb="64" eb="66">
      <t>ホカン</t>
    </rPh>
    <phoneticPr fontId="3"/>
  </si>
  <si>
    <t>除雪機、雪かきスコップなどの除雪設備・用具を備えている</t>
    <rPh sb="0" eb="3">
      <t>ジョセツキ</t>
    </rPh>
    <rPh sb="4" eb="5">
      <t>ユキ</t>
    </rPh>
    <rPh sb="14" eb="16">
      <t>ジョセツ</t>
    </rPh>
    <rPh sb="16" eb="18">
      <t>セツビ</t>
    </rPh>
    <rPh sb="19" eb="21">
      <t>ヨウグ</t>
    </rPh>
    <rPh sb="22" eb="23">
      <t>ソナ</t>
    </rPh>
    <phoneticPr fontId="3"/>
  </si>
  <si>
    <t>5_05</t>
  </si>
  <si>
    <t>5_06</t>
  </si>
  <si>
    <t>5_07</t>
  </si>
  <si>
    <t>5_08</t>
  </si>
  <si>
    <t>耐震強度の確認・補強を行っていない敷地外周フェンスがある</t>
    <rPh sb="0" eb="2">
      <t>タイシン</t>
    </rPh>
    <rPh sb="2" eb="4">
      <t>キョウド</t>
    </rPh>
    <rPh sb="5" eb="7">
      <t>カクニン</t>
    </rPh>
    <rPh sb="8" eb="10">
      <t>ホキョウ</t>
    </rPh>
    <rPh sb="11" eb="12">
      <t>オコナ</t>
    </rPh>
    <rPh sb="17" eb="19">
      <t>シキチ</t>
    </rPh>
    <rPh sb="19" eb="21">
      <t>ガイシュウ</t>
    </rPh>
    <phoneticPr fontId="3"/>
  </si>
  <si>
    <t>耐震強度の確認・補強を行っていない大型タンクなどがある</t>
    <rPh sb="0" eb="2">
      <t>タイシン</t>
    </rPh>
    <rPh sb="2" eb="4">
      <t>キョウド</t>
    </rPh>
    <rPh sb="5" eb="7">
      <t>カクニン</t>
    </rPh>
    <rPh sb="8" eb="10">
      <t>ホキョウ</t>
    </rPh>
    <rPh sb="11" eb="12">
      <t>オコナ</t>
    </rPh>
    <rPh sb="17" eb="19">
      <t>オオガタ</t>
    </rPh>
    <phoneticPr fontId="3"/>
  </si>
  <si>
    <t>6_01</t>
    <phoneticPr fontId="3"/>
  </si>
  <si>
    <t>6_02</t>
  </si>
  <si>
    <t>6_03</t>
  </si>
  <si>
    <t>6_04</t>
  </si>
  <si>
    <t>6_05</t>
  </si>
  <si>
    <t>6_06</t>
  </si>
  <si>
    <t>6_07</t>
  </si>
  <si>
    <t>ガス配管や消火ポンプなどの基幹設備に、地震対策としてフレキシブル配管を導入している</t>
    <rPh sb="2" eb="4">
      <t>ハイカン</t>
    </rPh>
    <rPh sb="5" eb="7">
      <t>ショウカ</t>
    </rPh>
    <rPh sb="13" eb="15">
      <t>キカン</t>
    </rPh>
    <rPh sb="15" eb="17">
      <t>セツビ</t>
    </rPh>
    <rPh sb="19" eb="21">
      <t>ジシン</t>
    </rPh>
    <rPh sb="21" eb="23">
      <t>タイサク</t>
    </rPh>
    <rPh sb="32" eb="34">
      <t>ハイカン</t>
    </rPh>
    <rPh sb="35" eb="37">
      <t>ドウニュウ</t>
    </rPh>
    <phoneticPr fontId="3"/>
  </si>
  <si>
    <t>建物の耐震補強を行う計画がある</t>
    <rPh sb="0" eb="2">
      <t>タテモノ</t>
    </rPh>
    <rPh sb="3" eb="5">
      <t>タイシン</t>
    </rPh>
    <rPh sb="5" eb="7">
      <t>ホキョウ</t>
    </rPh>
    <rPh sb="8" eb="9">
      <t>オコナ</t>
    </rPh>
    <rPh sb="10" eb="12">
      <t>ケイカク</t>
    </rPh>
    <phoneticPr fontId="3"/>
  </si>
  <si>
    <t>地震を対象としたBCP（事業継続計画）を策定している</t>
    <rPh sb="0" eb="2">
      <t>ジシン</t>
    </rPh>
    <rPh sb="3" eb="5">
      <t>タイショウ</t>
    </rPh>
    <rPh sb="12" eb="14">
      <t>ジギョウ</t>
    </rPh>
    <rPh sb="14" eb="16">
      <t>ケイゾク</t>
    </rPh>
    <rPh sb="16" eb="18">
      <t>ケイカク</t>
    </rPh>
    <rPh sb="20" eb="22">
      <t>サクテイ</t>
    </rPh>
    <phoneticPr fontId="3"/>
  </si>
  <si>
    <t>津波を対象としたBCP（事業継続計画）を策定している</t>
    <rPh sb="0" eb="2">
      <t>ツナミ</t>
    </rPh>
    <rPh sb="3" eb="5">
      <t>タイショウ</t>
    </rPh>
    <rPh sb="12" eb="14">
      <t>ジギョウ</t>
    </rPh>
    <rPh sb="14" eb="16">
      <t>ケイゾク</t>
    </rPh>
    <rPh sb="16" eb="18">
      <t>ケイカク</t>
    </rPh>
    <rPh sb="20" eb="22">
      <t>サクテイ</t>
    </rPh>
    <phoneticPr fontId="3"/>
  </si>
  <si>
    <t>台風を対象としたBCP（事業継続計画）を策定している</t>
    <rPh sb="0" eb="2">
      <t>タイフウ</t>
    </rPh>
    <rPh sb="3" eb="5">
      <t>タイショウ</t>
    </rPh>
    <rPh sb="12" eb="14">
      <t>ジギョウ</t>
    </rPh>
    <rPh sb="14" eb="16">
      <t>ケイゾク</t>
    </rPh>
    <rPh sb="16" eb="18">
      <t>ケイカク</t>
    </rPh>
    <rPh sb="20" eb="22">
      <t>サクテイ</t>
    </rPh>
    <phoneticPr fontId="3"/>
  </si>
  <si>
    <t>地震発生を対象とした避難訓練を年に1回以上行っている</t>
    <rPh sb="0" eb="2">
      <t>ジシン</t>
    </rPh>
    <rPh sb="2" eb="4">
      <t>ハッセイ</t>
    </rPh>
    <rPh sb="5" eb="7">
      <t>タイショウ</t>
    </rPh>
    <rPh sb="10" eb="12">
      <t>ヒナン</t>
    </rPh>
    <rPh sb="12" eb="14">
      <t>クンレン</t>
    </rPh>
    <rPh sb="15" eb="16">
      <t>ネン</t>
    </rPh>
    <rPh sb="18" eb="19">
      <t>カイ</t>
    </rPh>
    <rPh sb="19" eb="21">
      <t>イジョウ</t>
    </rPh>
    <rPh sb="21" eb="22">
      <t>オコナ</t>
    </rPh>
    <phoneticPr fontId="3"/>
  </si>
  <si>
    <t>津波発生を対象とした避難訓練を年に1回以上行っている</t>
    <rPh sb="0" eb="2">
      <t>ツナミ</t>
    </rPh>
    <rPh sb="2" eb="4">
      <t>ハッセイ</t>
    </rPh>
    <rPh sb="5" eb="7">
      <t>タイショウ</t>
    </rPh>
    <rPh sb="10" eb="12">
      <t>ヒナン</t>
    </rPh>
    <rPh sb="12" eb="14">
      <t>クンレン</t>
    </rPh>
    <rPh sb="15" eb="16">
      <t>ネン</t>
    </rPh>
    <rPh sb="18" eb="19">
      <t>カイ</t>
    </rPh>
    <rPh sb="19" eb="21">
      <t>イジョウ</t>
    </rPh>
    <rPh sb="21" eb="22">
      <t>オコナ</t>
    </rPh>
    <phoneticPr fontId="3"/>
  </si>
  <si>
    <t>津波発生を対象とした止水訓練を年に1回以上行っている</t>
    <rPh sb="0" eb="2">
      <t>ツナミ</t>
    </rPh>
    <rPh sb="2" eb="4">
      <t>ハッセイ</t>
    </rPh>
    <rPh sb="5" eb="7">
      <t>タイショウ</t>
    </rPh>
    <rPh sb="10" eb="12">
      <t>シスイ</t>
    </rPh>
    <rPh sb="12" eb="14">
      <t>クンレン</t>
    </rPh>
    <rPh sb="15" eb="16">
      <t>ネン</t>
    </rPh>
    <rPh sb="18" eb="19">
      <t>カイ</t>
    </rPh>
    <rPh sb="19" eb="21">
      <t>イジョウ</t>
    </rPh>
    <rPh sb="21" eb="22">
      <t>オコナ</t>
    </rPh>
    <phoneticPr fontId="3"/>
  </si>
  <si>
    <t>地震発生時の避難場所を定めている</t>
    <rPh sb="0" eb="2">
      <t>ジシン</t>
    </rPh>
    <rPh sb="2" eb="4">
      <t>ハッセイ</t>
    </rPh>
    <rPh sb="4" eb="5">
      <t>ジ</t>
    </rPh>
    <rPh sb="6" eb="8">
      <t>ヒナン</t>
    </rPh>
    <rPh sb="8" eb="10">
      <t>バショ</t>
    </rPh>
    <rPh sb="11" eb="12">
      <t>サダ</t>
    </rPh>
    <phoneticPr fontId="3"/>
  </si>
  <si>
    <t>津波発生時の避難場所を定めている</t>
    <rPh sb="0" eb="2">
      <t>ツナミ</t>
    </rPh>
    <rPh sb="2" eb="4">
      <t>ハッセイ</t>
    </rPh>
    <rPh sb="4" eb="5">
      <t>ジ</t>
    </rPh>
    <rPh sb="6" eb="8">
      <t>ヒナン</t>
    </rPh>
    <rPh sb="8" eb="10">
      <t>バショ</t>
    </rPh>
    <rPh sb="11" eb="12">
      <t>サダ</t>
    </rPh>
    <phoneticPr fontId="3"/>
  </si>
  <si>
    <t>基幹設備や重要な生産設備などの地震発生時におけるコントロール・遮断などの方法を定めている</t>
    <rPh sb="0" eb="2">
      <t>キカン</t>
    </rPh>
    <rPh sb="2" eb="4">
      <t>セツビ</t>
    </rPh>
    <rPh sb="5" eb="7">
      <t>ジュウヨウ</t>
    </rPh>
    <rPh sb="8" eb="10">
      <t>セイサン</t>
    </rPh>
    <rPh sb="10" eb="12">
      <t>セツビ</t>
    </rPh>
    <rPh sb="15" eb="17">
      <t>ジシン</t>
    </rPh>
    <rPh sb="17" eb="19">
      <t>ハッセイ</t>
    </rPh>
    <rPh sb="19" eb="20">
      <t>ジ</t>
    </rPh>
    <rPh sb="31" eb="33">
      <t>シャダン</t>
    </rPh>
    <rPh sb="36" eb="38">
      <t>ホウホウ</t>
    </rPh>
    <rPh sb="39" eb="40">
      <t>サダ</t>
    </rPh>
    <phoneticPr fontId="3"/>
  </si>
  <si>
    <t>基幹設備や重要な生産設備などの水災発生時におけるコントロール・遮断などの方法を定めている</t>
    <rPh sb="0" eb="2">
      <t>キカン</t>
    </rPh>
    <rPh sb="2" eb="4">
      <t>セツビ</t>
    </rPh>
    <rPh sb="5" eb="7">
      <t>ジュウヨウ</t>
    </rPh>
    <rPh sb="8" eb="10">
      <t>セイサン</t>
    </rPh>
    <rPh sb="10" eb="12">
      <t>セツビ</t>
    </rPh>
    <rPh sb="15" eb="17">
      <t>スイサイ</t>
    </rPh>
    <rPh sb="17" eb="19">
      <t>ハッセイ</t>
    </rPh>
    <rPh sb="19" eb="20">
      <t>ジ</t>
    </rPh>
    <rPh sb="31" eb="33">
      <t>シャダン</t>
    </rPh>
    <rPh sb="36" eb="38">
      <t>ホウホウ</t>
    </rPh>
    <rPh sb="39" eb="40">
      <t>サダ</t>
    </rPh>
    <phoneticPr fontId="3"/>
  </si>
  <si>
    <t>台風接近や河川氾濫などが想定される際の、事前の要対策箇所をチェックリストで確認する運用としている</t>
    <rPh sb="0" eb="2">
      <t>タイフウ</t>
    </rPh>
    <rPh sb="2" eb="4">
      <t>セッキン</t>
    </rPh>
    <rPh sb="5" eb="7">
      <t>カセン</t>
    </rPh>
    <rPh sb="7" eb="9">
      <t>ハンラン</t>
    </rPh>
    <rPh sb="12" eb="14">
      <t>ソウテイ</t>
    </rPh>
    <rPh sb="17" eb="18">
      <t>サイ</t>
    </rPh>
    <rPh sb="20" eb="22">
      <t>ジゼン</t>
    </rPh>
    <rPh sb="23" eb="24">
      <t>ヨウ</t>
    </rPh>
    <rPh sb="24" eb="26">
      <t>タイサク</t>
    </rPh>
    <rPh sb="26" eb="28">
      <t>カショ</t>
    </rPh>
    <rPh sb="37" eb="39">
      <t>カクニン</t>
    </rPh>
    <rPh sb="41" eb="43">
      <t>ウンヨウ</t>
    </rPh>
    <phoneticPr fontId="3"/>
  </si>
  <si>
    <t>屋外にパレットなどの保管品が多く置かれている</t>
    <rPh sb="0" eb="2">
      <t>オクガイ</t>
    </rPh>
    <rPh sb="10" eb="12">
      <t>ホカン</t>
    </rPh>
    <rPh sb="12" eb="13">
      <t>ヒン</t>
    </rPh>
    <rPh sb="14" eb="15">
      <t>オオ</t>
    </rPh>
    <rPh sb="16" eb="17">
      <t>オ</t>
    </rPh>
    <phoneticPr fontId="3"/>
  </si>
  <si>
    <t>要現地確認</t>
    <rPh sb="0" eb="1">
      <t>ヨウ</t>
    </rPh>
    <phoneticPr fontId="3"/>
  </si>
  <si>
    <t>津波を対象とした緊急時対応ガイドラインを策定している</t>
    <rPh sb="0" eb="2">
      <t>ツナミ</t>
    </rPh>
    <rPh sb="3" eb="5">
      <t>タイショウ</t>
    </rPh>
    <rPh sb="8" eb="11">
      <t>キンキュウジ</t>
    </rPh>
    <rPh sb="11" eb="13">
      <t>タイオウ</t>
    </rPh>
    <rPh sb="20" eb="22">
      <t>サクテイ</t>
    </rPh>
    <phoneticPr fontId="3"/>
  </si>
  <si>
    <t>地震を対象とした緊急時対応ガイドラインを策定している</t>
    <rPh sb="0" eb="2">
      <t>ジシン</t>
    </rPh>
    <rPh sb="3" eb="5">
      <t>タイショウ</t>
    </rPh>
    <rPh sb="8" eb="11">
      <t>キンキュウジ</t>
    </rPh>
    <rPh sb="20" eb="22">
      <t>サクテイ</t>
    </rPh>
    <phoneticPr fontId="3"/>
  </si>
  <si>
    <t>安否確認システムを導入している</t>
    <rPh sb="0" eb="2">
      <t>アンピ</t>
    </rPh>
    <rPh sb="2" eb="4">
      <t>カクニン</t>
    </rPh>
    <rPh sb="9" eb="11">
      <t>ドウニュウ</t>
    </rPh>
    <phoneticPr fontId="3"/>
  </si>
  <si>
    <t>緊急地震速報、計測地震防災システムなどにより、地震発生情報を施設内に放送する仕組みを構築している</t>
    <rPh sb="0" eb="2">
      <t>キンキュウ</t>
    </rPh>
    <rPh sb="2" eb="4">
      <t>ジシン</t>
    </rPh>
    <rPh sb="4" eb="6">
      <t>ソクホウ</t>
    </rPh>
    <rPh sb="7" eb="9">
      <t>ケイソク</t>
    </rPh>
    <rPh sb="9" eb="11">
      <t>ジシン</t>
    </rPh>
    <rPh sb="11" eb="13">
      <t>ボウサイ</t>
    </rPh>
    <rPh sb="23" eb="25">
      <t>ジシン</t>
    </rPh>
    <rPh sb="25" eb="27">
      <t>ハッセイ</t>
    </rPh>
    <rPh sb="27" eb="29">
      <t>ジョウホウ</t>
    </rPh>
    <rPh sb="30" eb="32">
      <t>シセツ</t>
    </rPh>
    <rPh sb="32" eb="33">
      <t>ナイ</t>
    </rPh>
    <rPh sb="34" eb="36">
      <t>ホウソウ</t>
    </rPh>
    <rPh sb="38" eb="40">
      <t>シク</t>
    </rPh>
    <rPh sb="42" eb="44">
      <t>コウチク</t>
    </rPh>
    <phoneticPr fontId="3"/>
  </si>
  <si>
    <t>ヒアリング回答選択肢（プルダウン）</t>
    <rPh sb="5" eb="7">
      <t>カイトウ</t>
    </rPh>
    <rPh sb="7" eb="10">
      <t>センタクシ</t>
    </rPh>
    <phoneticPr fontId="3"/>
  </si>
  <si>
    <t>＜最大スコア（ワースト）＞</t>
    <rPh sb="1" eb="3">
      <t>サイダイ</t>
    </rPh>
    <phoneticPr fontId="3"/>
  </si>
  <si>
    <t>※リスク評点は、各ペリルの最大点数に対する差分（リスクの低減具合、対策実施度）で評価</t>
    <rPh sb="4" eb="6">
      <t>ヒョウテン</t>
    </rPh>
    <rPh sb="8" eb="9">
      <t>カク</t>
    </rPh>
    <rPh sb="13" eb="15">
      <t>サイダイ</t>
    </rPh>
    <rPh sb="15" eb="17">
      <t>テンスウ</t>
    </rPh>
    <rPh sb="18" eb="19">
      <t>タイ</t>
    </rPh>
    <rPh sb="21" eb="23">
      <t>サブン</t>
    </rPh>
    <rPh sb="28" eb="30">
      <t>テイゲン</t>
    </rPh>
    <rPh sb="30" eb="32">
      <t>グアイ</t>
    </rPh>
    <rPh sb="33" eb="35">
      <t>タイサク</t>
    </rPh>
    <rPh sb="35" eb="37">
      <t>ジッシ</t>
    </rPh>
    <rPh sb="37" eb="38">
      <t>ド</t>
    </rPh>
    <rPh sb="40" eb="42">
      <t>ヒョウカ</t>
    </rPh>
    <phoneticPr fontId="3"/>
  </si>
  <si>
    <t>＜③-2スコアシートからの抽出＞</t>
    <rPh sb="13" eb="15">
      <t>チュウシュツ</t>
    </rPh>
    <phoneticPr fontId="3"/>
  </si>
  <si>
    <t>＜最小スコア（ベスト）＞</t>
    <rPh sb="1" eb="3">
      <t>サイショウ</t>
    </rPh>
    <phoneticPr fontId="3"/>
  </si>
  <si>
    <t>係数</t>
    <rPh sb="0" eb="2">
      <t>ケイスウ</t>
    </rPh>
    <phoneticPr fontId="3"/>
  </si>
  <si>
    <t>＜作成例＞</t>
    <rPh sb="1" eb="3">
      <t>サクセイ</t>
    </rPh>
    <rPh sb="3" eb="4">
      <t>レイ</t>
    </rPh>
    <phoneticPr fontId="3"/>
  </si>
  <si>
    <t>③-2_フラジリティ評価・スコア計算用</t>
    <phoneticPr fontId="3"/>
  </si>
  <si>
    <t>③-1_フラジリティ評価・スコア集計用</t>
    <phoneticPr fontId="3"/>
  </si>
  <si>
    <t>※③-3から連動</t>
    <rPh sb="6" eb="8">
      <t>レンドウ</t>
    </rPh>
    <phoneticPr fontId="3"/>
  </si>
  <si>
    <t>①-1_レポート用(サマリー)</t>
    <phoneticPr fontId="3"/>
  </si>
  <si>
    <t>①-3_レポート用(フラジリティ)</t>
    <phoneticPr fontId="3"/>
  </si>
  <si>
    <t>合計</t>
    <rPh sb="0" eb="2">
      <t>ゴウケイ</t>
    </rPh>
    <phoneticPr fontId="3"/>
  </si>
  <si>
    <t>評点割合</t>
    <rPh sb="0" eb="2">
      <t>ヒョウテン</t>
    </rPh>
    <rPh sb="2" eb="4">
      <t>ワリアイ</t>
    </rPh>
    <phoneticPr fontId="3"/>
  </si>
  <si>
    <t>観測値</t>
    <rPh sb="0" eb="2">
      <t>カンソク</t>
    </rPh>
    <rPh sb="2" eb="3">
      <t>チ</t>
    </rPh>
    <phoneticPr fontId="3"/>
  </si>
  <si>
    <t>J-shis基準による判定</t>
    <rPh sb="6" eb="8">
      <t>キジュン</t>
    </rPh>
    <rPh sb="11" eb="13">
      <t>ハンテイ</t>
    </rPh>
    <phoneticPr fontId="12"/>
  </si>
  <si>
    <t>評点結果</t>
    <rPh sb="0" eb="2">
      <t>ヒョウテン</t>
    </rPh>
    <rPh sb="2" eb="4">
      <t>ケッカ</t>
    </rPh>
    <phoneticPr fontId="3"/>
  </si>
  <si>
    <t>領域5</t>
    <rPh sb="0" eb="2">
      <t>リョウイキ</t>
    </rPh>
    <phoneticPr fontId="3"/>
  </si>
  <si>
    <t>高い</t>
    <rPh sb="0" eb="1">
      <t>タカ</t>
    </rPh>
    <phoneticPr fontId="3"/>
  </si>
  <si>
    <t>小項目</t>
    <rPh sb="0" eb="3">
      <t>ショウコウモク</t>
    </rPh>
    <phoneticPr fontId="3"/>
  </si>
  <si>
    <t>評価項目</t>
    <rPh sb="0" eb="2">
      <t>ヒョウカ</t>
    </rPh>
    <rPh sb="2" eb="4">
      <t>コウモク</t>
    </rPh>
    <phoneticPr fontId="3"/>
  </si>
  <si>
    <t>確認方法</t>
    <rPh sb="0" eb="2">
      <t>カクニン</t>
    </rPh>
    <rPh sb="2" eb="4">
      <t>ホウホウ</t>
    </rPh>
    <phoneticPr fontId="3"/>
  </si>
  <si>
    <t>0.1%以上</t>
    <rPh sb="4" eb="6">
      <t>イジョウ</t>
    </rPh>
    <phoneticPr fontId="12"/>
  </si>
  <si>
    <t>3%以上</t>
    <rPh sb="2" eb="4">
      <t>イジョウ</t>
    </rPh>
    <phoneticPr fontId="12"/>
  </si>
  <si>
    <t>6%以上</t>
    <rPh sb="2" eb="4">
      <t>イジョウ</t>
    </rPh>
    <phoneticPr fontId="12"/>
  </si>
  <si>
    <t>26%以上</t>
    <rPh sb="3" eb="5">
      <t>イジョウ</t>
    </rPh>
    <phoneticPr fontId="12"/>
  </si>
  <si>
    <t>領域4</t>
    <rPh sb="0" eb="2">
      <t>リョウイキ</t>
    </rPh>
    <phoneticPr fontId="3"/>
  </si>
  <si>
    <t>やや高い</t>
    <rPh sb="2" eb="3">
      <t>タカ</t>
    </rPh>
    <phoneticPr fontId="3"/>
  </si>
  <si>
    <t>地震リスク（地震動・液状化）</t>
    <rPh sb="10" eb="13">
      <t>エキジョウカ</t>
    </rPh>
    <phoneticPr fontId="3"/>
  </si>
  <si>
    <t>1_1</t>
    <phoneticPr fontId="3"/>
  </si>
  <si>
    <t>地震動（強）</t>
    <rPh sb="0" eb="3">
      <t>ジシンドウ</t>
    </rPh>
    <rPh sb="4" eb="5">
      <t>ツヨ</t>
    </rPh>
    <phoneticPr fontId="3"/>
  </si>
  <si>
    <t>相対評価</t>
    <phoneticPr fontId="3"/>
  </si>
  <si>
    <t>30年発生確率[震度5弱]</t>
    <rPh sb="2" eb="3">
      <t>ネン</t>
    </rPh>
    <rPh sb="3" eb="5">
      <t>ハッセイ</t>
    </rPh>
    <rPh sb="5" eb="7">
      <t>カクリツ</t>
    </rPh>
    <rPh sb="11" eb="12">
      <t>ジャク</t>
    </rPh>
    <phoneticPr fontId="3"/>
  </si>
  <si>
    <t>J-SHIS</t>
    <phoneticPr fontId="3"/>
  </si>
  <si>
    <t>領域2</t>
    <rPh sb="0" eb="2">
      <t>リョウイキ</t>
    </rPh>
    <phoneticPr fontId="3"/>
  </si>
  <si>
    <t>領域3</t>
    <rPh sb="0" eb="2">
      <t>リョウイキ</t>
    </rPh>
    <phoneticPr fontId="3"/>
  </si>
  <si>
    <t>中程度</t>
    <rPh sb="0" eb="3">
      <t>チュウテイド</t>
    </rPh>
    <phoneticPr fontId="3"/>
  </si>
  <si>
    <t>30年発生確率[震度5強]</t>
    <rPh sb="2" eb="3">
      <t>ネン</t>
    </rPh>
    <rPh sb="3" eb="5">
      <t>ハッセイ</t>
    </rPh>
    <rPh sb="5" eb="7">
      <t>カクリツ</t>
    </rPh>
    <phoneticPr fontId="3"/>
  </si>
  <si>
    <t>やや低い</t>
    <rPh sb="2" eb="3">
      <t>ヒク</t>
    </rPh>
    <phoneticPr fontId="3"/>
  </si>
  <si>
    <t>30年発生確率[震度6弱]</t>
    <rPh sb="2" eb="3">
      <t>ネン</t>
    </rPh>
    <rPh sb="3" eb="5">
      <t>ハッセイ</t>
    </rPh>
    <rPh sb="5" eb="7">
      <t>カクリツ</t>
    </rPh>
    <rPh sb="11" eb="12">
      <t>ジャク</t>
    </rPh>
    <phoneticPr fontId="3"/>
  </si>
  <si>
    <t>領域1</t>
    <rPh sb="0" eb="2">
      <t>リョウイキ</t>
    </rPh>
    <phoneticPr fontId="3"/>
  </si>
  <si>
    <t>低い</t>
    <rPh sb="0" eb="1">
      <t>ヒク</t>
    </rPh>
    <phoneticPr fontId="3"/>
  </si>
  <si>
    <t>30年発生確率[震度6強]</t>
    <rPh sb="2" eb="3">
      <t>ネン</t>
    </rPh>
    <rPh sb="3" eb="5">
      <t>ハッセイ</t>
    </rPh>
    <rPh sb="5" eb="7">
      <t>カクリツ</t>
    </rPh>
    <phoneticPr fontId="3"/>
  </si>
  <si>
    <t>5弱未満</t>
  </si>
  <si>
    <t>5弱</t>
    <rPh sb="1" eb="2">
      <t>ジャク</t>
    </rPh>
    <phoneticPr fontId="3"/>
  </si>
  <si>
    <t>5強</t>
    <rPh sb="1" eb="2">
      <t>キョウ</t>
    </rPh>
    <phoneticPr fontId="3"/>
  </si>
  <si>
    <t>6弱</t>
    <rPh sb="1" eb="2">
      <t>ジャク</t>
    </rPh>
    <phoneticPr fontId="3"/>
  </si>
  <si>
    <t>6強</t>
    <rPh sb="1" eb="2">
      <t>キョウ</t>
    </rPh>
    <phoneticPr fontId="3"/>
  </si>
  <si>
    <t>1_2</t>
  </si>
  <si>
    <t>絶対評価</t>
    <phoneticPr fontId="3"/>
  </si>
  <si>
    <t>長期間ハザード（震度の値・1万年相当）</t>
    <rPh sb="0" eb="3">
      <t>チョウキカン</t>
    </rPh>
    <rPh sb="8" eb="10">
      <t>シンド</t>
    </rPh>
    <rPh sb="11" eb="12">
      <t>アタイ</t>
    </rPh>
    <rPh sb="14" eb="16">
      <t>マンネン</t>
    </rPh>
    <rPh sb="16" eb="18">
      <t>ソウトウ</t>
    </rPh>
    <phoneticPr fontId="3"/>
  </si>
  <si>
    <t>1.0未満</t>
    <rPh sb="3" eb="5">
      <t>ミマン</t>
    </rPh>
    <phoneticPr fontId="12"/>
  </si>
  <si>
    <t>1.0以上</t>
    <rPh sb="3" eb="5">
      <t>イジョウ</t>
    </rPh>
    <phoneticPr fontId="12"/>
  </si>
  <si>
    <t>1.4以上</t>
    <rPh sb="3" eb="5">
      <t>イジョウ</t>
    </rPh>
    <phoneticPr fontId="12"/>
  </si>
  <si>
    <t>1.6以上</t>
    <rPh sb="3" eb="5">
      <t>イジョウ</t>
    </rPh>
    <phoneticPr fontId="12"/>
  </si>
  <si>
    <t>2.0以上</t>
    <rPh sb="3" eb="5">
      <t>イジョウ</t>
    </rPh>
    <phoneticPr fontId="12"/>
  </si>
  <si>
    <t>1_3</t>
  </si>
  <si>
    <t>相対評価</t>
    <rPh sb="0" eb="2">
      <t>ソウタイ</t>
    </rPh>
    <rPh sb="2" eb="4">
      <t>ヒョウカ</t>
    </rPh>
    <phoneticPr fontId="3"/>
  </si>
  <si>
    <t>地盤増幅度</t>
    <rPh sb="0" eb="2">
      <t>ジバン</t>
    </rPh>
    <rPh sb="2" eb="4">
      <t>ゾウフク</t>
    </rPh>
    <rPh sb="4" eb="5">
      <t>ド</t>
    </rPh>
    <phoneticPr fontId="3"/>
  </si>
  <si>
    <t>非常に低い</t>
    <rPh sb="0" eb="2">
      <t>ヒジョウ</t>
    </rPh>
    <rPh sb="3" eb="4">
      <t>ヒク</t>
    </rPh>
    <phoneticPr fontId="3"/>
  </si>
  <si>
    <t>1_4</t>
  </si>
  <si>
    <t>液状化</t>
    <rPh sb="0" eb="3">
      <t>エキジョウカ</t>
    </rPh>
    <phoneticPr fontId="3"/>
  </si>
  <si>
    <t>液状化危険度マップ</t>
    <rPh sb="0" eb="3">
      <t>エキジョウカ</t>
    </rPh>
    <rPh sb="3" eb="6">
      <t>キケンド</t>
    </rPh>
    <phoneticPr fontId="3"/>
  </si>
  <si>
    <t>該当箇所に「1」→</t>
    <rPh sb="0" eb="2">
      <t>ガイトウ</t>
    </rPh>
    <rPh sb="2" eb="4">
      <t>カショ</t>
    </rPh>
    <phoneticPr fontId="3"/>
  </si>
  <si>
    <t>1_4+</t>
    <phoneticPr fontId="3"/>
  </si>
  <si>
    <t>履歴評価</t>
    <rPh sb="0" eb="2">
      <t>リレキ</t>
    </rPh>
    <rPh sb="2" eb="4">
      <t>ヒョウカ</t>
    </rPh>
    <phoneticPr fontId="3"/>
  </si>
  <si>
    <t>立地地点における過去の罹災履歴</t>
    <rPh sb="0" eb="2">
      <t>リッチ</t>
    </rPh>
    <rPh sb="2" eb="4">
      <t>チテン</t>
    </rPh>
    <rPh sb="8" eb="10">
      <t>カコ</t>
    </rPh>
    <rPh sb="11" eb="13">
      <t>リサイ</t>
    </rPh>
    <rPh sb="13" eb="15">
      <t>リレキ</t>
    </rPh>
    <phoneticPr fontId="3"/>
  </si>
  <si>
    <t>文献・ヒアリング</t>
    <rPh sb="0" eb="2">
      <t>ブンケン</t>
    </rPh>
    <phoneticPr fontId="3"/>
  </si>
  <si>
    <t>履歴あり⇒上記に1点加点（満点の場合は加点しない）</t>
    <rPh sb="0" eb="2">
      <t>リレキ</t>
    </rPh>
    <rPh sb="5" eb="7">
      <t>ジョウキ</t>
    </rPh>
    <rPh sb="9" eb="10">
      <t>テン</t>
    </rPh>
    <rPh sb="10" eb="12">
      <t>カテン</t>
    </rPh>
    <rPh sb="13" eb="15">
      <t>マンテン</t>
    </rPh>
    <rPh sb="16" eb="18">
      <t>バアイ</t>
    </rPh>
    <rPh sb="19" eb="21">
      <t>カテン</t>
    </rPh>
    <phoneticPr fontId="3"/>
  </si>
  <si>
    <t>ありの場合「1」→</t>
    <rPh sb="3" eb="5">
      <t>バアイ</t>
    </rPh>
    <phoneticPr fontId="3"/>
  </si>
  <si>
    <t>小</t>
    <rPh sb="0" eb="1">
      <t>ショウ</t>
    </rPh>
    <phoneticPr fontId="3"/>
  </si>
  <si>
    <t>中</t>
    <rPh sb="0" eb="1">
      <t>チュウ</t>
    </rPh>
    <phoneticPr fontId="3"/>
  </si>
  <si>
    <t>大</t>
    <rPh sb="0" eb="1">
      <t>ダイ</t>
    </rPh>
    <phoneticPr fontId="3"/>
  </si>
  <si>
    <t>1_5</t>
    <phoneticPr fontId="3"/>
  </si>
  <si>
    <t>特定シナリオにおける液状化危険度・可能性</t>
    <rPh sb="0" eb="2">
      <t>トクテイ</t>
    </rPh>
    <rPh sb="10" eb="13">
      <t>エキジョウカ</t>
    </rPh>
    <rPh sb="13" eb="16">
      <t>キケンド</t>
    </rPh>
    <rPh sb="17" eb="20">
      <t>カノウセイ</t>
    </rPh>
    <phoneticPr fontId="3"/>
  </si>
  <si>
    <t>液状化ハザードマップ</t>
    <rPh sb="0" eb="3">
      <t>エキジョウカ</t>
    </rPh>
    <phoneticPr fontId="3"/>
  </si>
  <si>
    <t>10%(確認なしの場合は0%)</t>
    <rPh sb="4" eb="6">
      <t>カクニン</t>
    </rPh>
    <rPh sb="9" eb="11">
      <t>バアイ</t>
    </rPh>
    <phoneticPr fontId="3"/>
  </si>
  <si>
    <t>浸水なし</t>
    <rPh sb="0" eb="2">
      <t>シンスイ</t>
    </rPh>
    <phoneticPr fontId="3"/>
  </si>
  <si>
    <t>30cm未満</t>
    <rPh sb="4" eb="6">
      <t>ミマン</t>
    </rPh>
    <phoneticPr fontId="3"/>
  </si>
  <si>
    <t>30cm以上</t>
    <rPh sb="4" eb="6">
      <t>イジョウ</t>
    </rPh>
    <phoneticPr fontId="12"/>
  </si>
  <si>
    <t>1m以上</t>
    <rPh sb="2" eb="4">
      <t>イジョウ</t>
    </rPh>
    <phoneticPr fontId="12"/>
  </si>
  <si>
    <t>2m以上</t>
    <rPh sb="2" eb="4">
      <t>イジョウ</t>
    </rPh>
    <phoneticPr fontId="12"/>
  </si>
  <si>
    <t>3m以上</t>
    <rPh sb="2" eb="4">
      <t>イジョウ</t>
    </rPh>
    <phoneticPr fontId="3"/>
  </si>
  <si>
    <t>2_1</t>
    <phoneticPr fontId="3"/>
  </si>
  <si>
    <t>津波浸水深</t>
    <rPh sb="0" eb="2">
      <t>ツナミ</t>
    </rPh>
    <rPh sb="2" eb="4">
      <t>シンスイ</t>
    </rPh>
    <rPh sb="4" eb="5">
      <t>シン</t>
    </rPh>
    <phoneticPr fontId="3"/>
  </si>
  <si>
    <t>2_1+</t>
    <phoneticPr fontId="3"/>
  </si>
  <si>
    <t>各階級の日数</t>
    <rPh sb="0" eb="3">
      <t>カクカイキュウ</t>
    </rPh>
    <rPh sb="4" eb="6">
      <t>ニッスウ</t>
    </rPh>
    <phoneticPr fontId="3"/>
  </si>
  <si>
    <t>≧10.0m/s</t>
  </si>
  <si>
    <t>≧15.0m/s</t>
  </si>
  <si>
    <t>≧20.0m/s</t>
  </si>
  <si>
    <t>≧30.0m/s</t>
  </si>
  <si>
    <t>Score</t>
    <phoneticPr fontId="3"/>
  </si>
  <si>
    <t>3_1</t>
    <phoneticPr fontId="3"/>
  </si>
  <si>
    <t>相対評価</t>
    <phoneticPr fontId="3"/>
  </si>
  <si>
    <t>最大風速[10m/s以上の発生頻度]</t>
    <rPh sb="0" eb="2">
      <t>サイダイ</t>
    </rPh>
    <rPh sb="2" eb="4">
      <t>フウソク</t>
    </rPh>
    <rPh sb="10" eb="12">
      <t>イジョウ</t>
    </rPh>
    <rPh sb="13" eb="15">
      <t>ハッセイ</t>
    </rPh>
    <rPh sb="15" eb="17">
      <t>ヒンド</t>
    </rPh>
    <phoneticPr fontId="3"/>
  </si>
  <si>
    <t>気象庁/過去のデータ検索</t>
    <rPh sb="0" eb="3">
      <t>キショウチョウ</t>
    </rPh>
    <rPh sb="4" eb="6">
      <t>カコ</t>
    </rPh>
    <rPh sb="10" eb="12">
      <t>ケンサク</t>
    </rPh>
    <phoneticPr fontId="3"/>
  </si>
  <si>
    <t>観測値⇒</t>
    <rPh sb="0" eb="2">
      <t>カンソク</t>
    </rPh>
    <rPh sb="2" eb="3">
      <t>チ</t>
    </rPh>
    <phoneticPr fontId="3"/>
  </si>
  <si>
    <t>最大風速[15m/s以上の発生頻度]</t>
    <rPh sb="0" eb="2">
      <t>サイダイ</t>
    </rPh>
    <rPh sb="2" eb="4">
      <t>フウソク</t>
    </rPh>
    <rPh sb="10" eb="12">
      <t>イジョウ</t>
    </rPh>
    <rPh sb="13" eb="15">
      <t>ハッセイ</t>
    </rPh>
    <rPh sb="15" eb="17">
      <t>ヒンド</t>
    </rPh>
    <phoneticPr fontId="3"/>
  </si>
  <si>
    <t>0.1以上「1」→</t>
    <rPh sb="3" eb="5">
      <t>イジョウ</t>
    </rPh>
    <phoneticPr fontId="3"/>
  </si>
  <si>
    <t>相対評価</t>
    <phoneticPr fontId="3"/>
  </si>
  <si>
    <t>最大風速[20m/s以上の発生頻度]</t>
    <rPh sb="0" eb="2">
      <t>サイダイ</t>
    </rPh>
    <rPh sb="2" eb="4">
      <t>フウソク</t>
    </rPh>
    <rPh sb="10" eb="12">
      <t>イジョウ</t>
    </rPh>
    <rPh sb="13" eb="15">
      <t>ハッセイ</t>
    </rPh>
    <rPh sb="15" eb="17">
      <t>ヒンド</t>
    </rPh>
    <phoneticPr fontId="3"/>
  </si>
  <si>
    <t>日数が上の閾値以上「1」→</t>
    <rPh sb="0" eb="2">
      <t>ニッスウ</t>
    </rPh>
    <rPh sb="3" eb="4">
      <t>ウエ</t>
    </rPh>
    <rPh sb="5" eb="7">
      <t>シキイチ</t>
    </rPh>
    <rPh sb="7" eb="9">
      <t>イジョウ</t>
    </rPh>
    <phoneticPr fontId="3"/>
  </si>
  <si>
    <t>相対評価</t>
    <phoneticPr fontId="3"/>
  </si>
  <si>
    <t>最大風速[30m/s以上の発生頻度]</t>
    <rPh sb="0" eb="2">
      <t>サイダイ</t>
    </rPh>
    <rPh sb="2" eb="4">
      <t>フウソク</t>
    </rPh>
    <rPh sb="10" eb="12">
      <t>イジョウ</t>
    </rPh>
    <rPh sb="13" eb="15">
      <t>ハッセイ</t>
    </rPh>
    <rPh sb="15" eb="17">
      <t>ヒンド</t>
    </rPh>
    <phoneticPr fontId="3"/>
  </si>
  <si>
    <t>県庁所在地75ile%⇒</t>
    <rPh sb="0" eb="2">
      <t>ケンチョウ</t>
    </rPh>
    <rPh sb="2" eb="5">
      <t>ショザイチ</t>
    </rPh>
    <phoneticPr fontId="3"/>
  </si>
  <si>
    <t>15m/s未満</t>
    <rPh sb="5" eb="7">
      <t>ミマン</t>
    </rPh>
    <phoneticPr fontId="3"/>
  </si>
  <si>
    <t>15m/s以上</t>
    <rPh sb="5" eb="7">
      <t>イジョウ</t>
    </rPh>
    <phoneticPr fontId="3"/>
  </si>
  <si>
    <t>20m/s以上</t>
    <rPh sb="5" eb="7">
      <t>イジョウ</t>
    </rPh>
    <phoneticPr fontId="3"/>
  </si>
  <si>
    <t>30m/s以上</t>
    <rPh sb="5" eb="7">
      <t>イジョウ</t>
    </rPh>
    <phoneticPr fontId="3"/>
  </si>
  <si>
    <t>40m/s以上</t>
    <rPh sb="5" eb="7">
      <t>イジョウ</t>
    </rPh>
    <phoneticPr fontId="3"/>
  </si>
  <si>
    <t>3_2</t>
    <phoneticPr fontId="3"/>
  </si>
  <si>
    <t>最大風速の最大値</t>
    <rPh sb="0" eb="2">
      <t>サイダイ</t>
    </rPh>
    <rPh sb="2" eb="4">
      <t>フウソク</t>
    </rPh>
    <rPh sb="5" eb="8">
      <t>サイダイチ</t>
    </rPh>
    <phoneticPr fontId="3"/>
  </si>
  <si>
    <t>20m/s未満</t>
    <rPh sb="5" eb="7">
      <t>ミマン</t>
    </rPh>
    <phoneticPr fontId="3"/>
  </si>
  <si>
    <t>50m/s以上</t>
    <rPh sb="5" eb="7">
      <t>イジョウ</t>
    </rPh>
    <phoneticPr fontId="3"/>
  </si>
  <si>
    <t>3_3</t>
    <phoneticPr fontId="3"/>
  </si>
  <si>
    <t>34m/s未満</t>
    <rPh sb="5" eb="7">
      <t>ミマン</t>
    </rPh>
    <phoneticPr fontId="3"/>
  </si>
  <si>
    <t>34m/s以上</t>
    <rPh sb="5" eb="7">
      <t>イジョウ</t>
    </rPh>
    <phoneticPr fontId="3"/>
  </si>
  <si>
    <t>36m/s以上</t>
    <rPh sb="5" eb="7">
      <t>イジョウ</t>
    </rPh>
    <phoneticPr fontId="3"/>
  </si>
  <si>
    <t>38m/s以上</t>
    <rPh sb="5" eb="7">
      <t>イジョウ</t>
    </rPh>
    <phoneticPr fontId="3"/>
  </si>
  <si>
    <t>3_4</t>
    <phoneticPr fontId="3"/>
  </si>
  <si>
    <t>基準風速</t>
    <rPh sb="0" eb="2">
      <t>キジュン</t>
    </rPh>
    <rPh sb="2" eb="4">
      <t>フウソク</t>
    </rPh>
    <phoneticPr fontId="3"/>
  </si>
  <si>
    <t>地域別設計用基準風速</t>
    <rPh sb="0" eb="2">
      <t>チイキ</t>
    </rPh>
    <rPh sb="2" eb="3">
      <t>ベツ</t>
    </rPh>
    <rPh sb="3" eb="6">
      <t>セッケイヨウ</t>
    </rPh>
    <rPh sb="6" eb="8">
      <t>キジュン</t>
    </rPh>
    <rPh sb="8" eb="10">
      <t>フウソク</t>
    </rPh>
    <phoneticPr fontId="3"/>
  </si>
  <si>
    <t>3_5</t>
    <phoneticPr fontId="3"/>
  </si>
  <si>
    <t>10%(履歴確認なしの場合は0%)</t>
    <rPh sb="4" eb="6">
      <t>リレキ</t>
    </rPh>
    <rPh sb="6" eb="8">
      <t>カクニン</t>
    </rPh>
    <rPh sb="11" eb="13">
      <t>バアイ</t>
    </rPh>
    <phoneticPr fontId="3"/>
  </si>
  <si>
    <t>50cm未満</t>
    <rPh sb="4" eb="6">
      <t>ミマン</t>
    </rPh>
    <phoneticPr fontId="3"/>
  </si>
  <si>
    <t>50cm以上</t>
    <rPh sb="4" eb="6">
      <t>イジョウ</t>
    </rPh>
    <phoneticPr fontId="12"/>
  </si>
  <si>
    <t>3m以上</t>
    <rPh sb="2" eb="4">
      <t>イジョウ</t>
    </rPh>
    <phoneticPr fontId="12"/>
  </si>
  <si>
    <t>5m以上</t>
    <rPh sb="2" eb="4">
      <t>イジョウ</t>
    </rPh>
    <phoneticPr fontId="3"/>
  </si>
  <si>
    <t>4_1</t>
    <phoneticPr fontId="3"/>
  </si>
  <si>
    <t>絶対評価</t>
    <phoneticPr fontId="3"/>
  </si>
  <si>
    <t>想定最大規模洪水の浸水深</t>
    <rPh sb="0" eb="2">
      <t>ソウテイ</t>
    </rPh>
    <rPh sb="2" eb="4">
      <t>サイダイ</t>
    </rPh>
    <rPh sb="4" eb="6">
      <t>キボ</t>
    </rPh>
    <rPh sb="6" eb="8">
      <t>コウズイ</t>
    </rPh>
    <rPh sb="9" eb="11">
      <t>シンスイ</t>
    </rPh>
    <rPh sb="11" eb="12">
      <t>シン</t>
    </rPh>
    <phoneticPr fontId="3"/>
  </si>
  <si>
    <t>計画規模洪水の浸水深</t>
    <rPh sb="0" eb="2">
      <t>ケイカク</t>
    </rPh>
    <rPh sb="2" eb="4">
      <t>キボ</t>
    </rPh>
    <rPh sb="4" eb="6">
      <t>コウズイ</t>
    </rPh>
    <rPh sb="7" eb="9">
      <t>シンスイ</t>
    </rPh>
    <rPh sb="9" eb="10">
      <t>シン</t>
    </rPh>
    <phoneticPr fontId="3"/>
  </si>
  <si>
    <t>浸水シミュレーション</t>
    <rPh sb="0" eb="2">
      <t>シンスイ</t>
    </rPh>
    <phoneticPr fontId="3"/>
  </si>
  <si>
    <t>DioVISTA</t>
    <phoneticPr fontId="3"/>
  </si>
  <si>
    <t>上行を置き換え</t>
    <rPh sb="0" eb="1">
      <t>ウエ</t>
    </rPh>
    <rPh sb="1" eb="2">
      <t>ギョウ</t>
    </rPh>
    <rPh sb="3" eb="4">
      <t>オ</t>
    </rPh>
    <rPh sb="5" eb="6">
      <t>カ</t>
    </rPh>
    <phoneticPr fontId="3"/>
  </si>
  <si>
    <t>丘陵地（周囲の地形が低い）</t>
    <rPh sb="0" eb="3">
      <t>キュウリョウチ</t>
    </rPh>
    <rPh sb="4" eb="6">
      <t>シュウイ</t>
    </rPh>
    <rPh sb="7" eb="9">
      <t>チケイ</t>
    </rPh>
    <rPh sb="10" eb="11">
      <t>ヒク</t>
    </rPh>
    <phoneticPr fontId="3"/>
  </si>
  <si>
    <t>傾斜地（勾配1/100以上）</t>
    <rPh sb="0" eb="2">
      <t>ケイシャ</t>
    </rPh>
    <rPh sb="2" eb="3">
      <t>チ</t>
    </rPh>
    <rPh sb="4" eb="6">
      <t>コウバイ</t>
    </rPh>
    <rPh sb="11" eb="13">
      <t>イジョウ</t>
    </rPh>
    <phoneticPr fontId="3"/>
  </si>
  <si>
    <t>平坦地</t>
    <rPh sb="0" eb="2">
      <t>ヘイタン</t>
    </rPh>
    <rPh sb="2" eb="3">
      <t>チ</t>
    </rPh>
    <phoneticPr fontId="3"/>
  </si>
  <si>
    <t>谷底地（周囲から水が集まる谷底である。）</t>
    <rPh sb="0" eb="1">
      <t>タニ</t>
    </rPh>
    <rPh sb="1" eb="2">
      <t>ゾコ</t>
    </rPh>
    <rPh sb="2" eb="3">
      <t>チ</t>
    </rPh>
    <rPh sb="4" eb="6">
      <t>シュウイ</t>
    </rPh>
    <rPh sb="8" eb="9">
      <t>ミズ</t>
    </rPh>
    <rPh sb="10" eb="11">
      <t>アツ</t>
    </rPh>
    <rPh sb="13" eb="14">
      <t>タニ</t>
    </rPh>
    <rPh sb="14" eb="15">
      <t>ゾコ</t>
    </rPh>
    <phoneticPr fontId="3"/>
  </si>
  <si>
    <t>窪地（周囲の地形が高い）</t>
    <rPh sb="0" eb="2">
      <t>クボチ</t>
    </rPh>
    <rPh sb="3" eb="5">
      <t>シュウイ</t>
    </rPh>
    <rPh sb="6" eb="8">
      <t>チケイ</t>
    </rPh>
    <rPh sb="9" eb="10">
      <t>タカ</t>
    </rPh>
    <phoneticPr fontId="3"/>
  </si>
  <si>
    <t>4_２</t>
    <phoneticPr fontId="3"/>
  </si>
  <si>
    <t>絶対評価</t>
    <phoneticPr fontId="3"/>
  </si>
  <si>
    <t>地形状況[色別標高図]</t>
    <rPh sb="0" eb="2">
      <t>チケイ</t>
    </rPh>
    <rPh sb="2" eb="4">
      <t>ジョウキョウ</t>
    </rPh>
    <rPh sb="5" eb="6">
      <t>イロ</t>
    </rPh>
    <rPh sb="6" eb="7">
      <t>ベツ</t>
    </rPh>
    <rPh sb="7" eb="9">
      <t>ヒョウコウ</t>
    </rPh>
    <rPh sb="9" eb="10">
      <t>ズ</t>
    </rPh>
    <phoneticPr fontId="3"/>
  </si>
  <si>
    <t>30%(内水ハザードマップ、実績図がある場合は0%)</t>
    <phoneticPr fontId="3"/>
  </si>
  <si>
    <t>浸水実績あり</t>
    <rPh sb="0" eb="2">
      <t>シンスイ</t>
    </rPh>
    <rPh sb="2" eb="4">
      <t>ジッセキ</t>
    </rPh>
    <phoneticPr fontId="3"/>
  </si>
  <si>
    <t>20cm未満</t>
    <rPh sb="4" eb="6">
      <t>ミマン</t>
    </rPh>
    <phoneticPr fontId="3"/>
  </si>
  <si>
    <t>20cm以上</t>
    <rPh sb="4" eb="6">
      <t>イジョウ</t>
    </rPh>
    <phoneticPr fontId="12"/>
  </si>
  <si>
    <t>2m以上</t>
    <rPh sb="2" eb="4">
      <t>イジョウ</t>
    </rPh>
    <phoneticPr fontId="3"/>
  </si>
  <si>
    <t>浸水深</t>
    <rPh sb="0" eb="2">
      <t>シンスイ</t>
    </rPh>
    <rPh sb="2" eb="3">
      <t>シン</t>
    </rPh>
    <phoneticPr fontId="3"/>
  </si>
  <si>
    <t>30%(内水ハザードマップ、実績図がない場合は0%)</t>
    <rPh sb="4" eb="6">
      <t>ナイスイ</t>
    </rPh>
    <rPh sb="14" eb="16">
      <t>ジッセキ</t>
    </rPh>
    <rPh sb="16" eb="17">
      <t>ズ</t>
    </rPh>
    <rPh sb="20" eb="22">
      <t>バアイ</t>
    </rPh>
    <phoneticPr fontId="3"/>
  </si>
  <si>
    <t>上行2項目（30%）を置き換え</t>
    <rPh sb="0" eb="1">
      <t>ウエ</t>
    </rPh>
    <rPh sb="1" eb="2">
      <t>ギョウ</t>
    </rPh>
    <rPh sb="3" eb="5">
      <t>コウモク</t>
    </rPh>
    <rPh sb="11" eb="12">
      <t>オ</t>
    </rPh>
    <rPh sb="13" eb="14">
      <t>カ</t>
    </rPh>
    <phoneticPr fontId="3"/>
  </si>
  <si>
    <t>4_３</t>
    <phoneticPr fontId="3"/>
  </si>
  <si>
    <t>絶対評価</t>
    <phoneticPr fontId="3"/>
  </si>
  <si>
    <t>DioVISTA</t>
    <phoneticPr fontId="3"/>
  </si>
  <si>
    <t>4_４</t>
    <phoneticPr fontId="3"/>
  </si>
  <si>
    <t>浸水履歴図・河川整備計画・ヒアリング</t>
    <rPh sb="0" eb="2">
      <t>シンスイ</t>
    </rPh>
    <rPh sb="2" eb="4">
      <t>リレキ</t>
    </rPh>
    <rPh sb="4" eb="5">
      <t>ズ</t>
    </rPh>
    <rPh sb="6" eb="8">
      <t>カセン</t>
    </rPh>
    <rPh sb="8" eb="10">
      <t>セイビ</t>
    </rPh>
    <rPh sb="10" eb="12">
      <t>ケイカク</t>
    </rPh>
    <phoneticPr fontId="3"/>
  </si>
  <si>
    <t>土石流</t>
    <rPh sb="0" eb="3">
      <t>ドセキリュウ</t>
    </rPh>
    <phoneticPr fontId="3"/>
  </si>
  <si>
    <t>土砂災害危険個所・警戒区域</t>
    <rPh sb="0" eb="2">
      <t>ドシャ</t>
    </rPh>
    <rPh sb="2" eb="4">
      <t>サイガイ</t>
    </rPh>
    <rPh sb="4" eb="6">
      <t>キケン</t>
    </rPh>
    <rPh sb="6" eb="8">
      <t>カショ</t>
    </rPh>
    <rPh sb="9" eb="11">
      <t>ケイカイ</t>
    </rPh>
    <rPh sb="11" eb="13">
      <t>クイキ</t>
    </rPh>
    <phoneticPr fontId="3"/>
  </si>
  <si>
    <t>国土数値情報・都道府県想定</t>
    <rPh sb="0" eb="2">
      <t>コクド</t>
    </rPh>
    <rPh sb="2" eb="4">
      <t>スウチ</t>
    </rPh>
    <rPh sb="4" eb="6">
      <t>ジョウホウ</t>
    </rPh>
    <rPh sb="7" eb="11">
      <t>トドウフケン</t>
    </rPh>
    <rPh sb="11" eb="13">
      <t>ソウテイ</t>
    </rPh>
    <phoneticPr fontId="3"/>
  </si>
  <si>
    <t>急傾斜地崩壊</t>
    <rPh sb="0" eb="1">
      <t>キュウ</t>
    </rPh>
    <rPh sb="1" eb="4">
      <t>ケイシャチ</t>
    </rPh>
    <rPh sb="4" eb="6">
      <t>ホウカイ</t>
    </rPh>
    <phoneticPr fontId="3"/>
  </si>
  <si>
    <t>がけ崩れ</t>
    <rPh sb="2" eb="3">
      <t>クズ</t>
    </rPh>
    <phoneticPr fontId="3"/>
  </si>
  <si>
    <t>間隙水圧上昇率・</t>
    <rPh sb="0" eb="2">
      <t>カンゲキ</t>
    </rPh>
    <rPh sb="2" eb="4">
      <t>スイアツ</t>
    </rPh>
    <rPh sb="4" eb="6">
      <t>ジョウショウ</t>
    </rPh>
    <rPh sb="6" eb="7">
      <t>リツ</t>
    </rPh>
    <phoneticPr fontId="3"/>
  </si>
  <si>
    <t>地圏テクノロジーマップ</t>
    <rPh sb="0" eb="2">
      <t>チケン</t>
    </rPh>
    <phoneticPr fontId="3"/>
  </si>
  <si>
    <t>最深積雪</t>
    <rPh sb="0" eb="2">
      <t>サイシン</t>
    </rPh>
    <rPh sb="2" eb="4">
      <t>セキセツ</t>
    </rPh>
    <phoneticPr fontId="3"/>
  </si>
  <si>
    <t>最深積雪の最大値</t>
    <rPh sb="0" eb="2">
      <t>サイシン</t>
    </rPh>
    <rPh sb="2" eb="4">
      <t>セキセツ</t>
    </rPh>
    <rPh sb="5" eb="8">
      <t>サイダイチ</t>
    </rPh>
    <phoneticPr fontId="3"/>
  </si>
  <si>
    <t>降雪日数</t>
    <rPh sb="0" eb="2">
      <t>コウセツ</t>
    </rPh>
    <rPh sb="2" eb="4">
      <t>ニッスウ</t>
    </rPh>
    <phoneticPr fontId="3"/>
  </si>
  <si>
    <t>降雪日数●日以上の発生頻度</t>
    <rPh sb="0" eb="2">
      <t>コウセツ</t>
    </rPh>
    <rPh sb="2" eb="4">
      <t>ニッスウ</t>
    </rPh>
    <rPh sb="5" eb="6">
      <t>ニチ</t>
    </rPh>
    <rPh sb="6" eb="8">
      <t>イジョウ</t>
    </rPh>
    <rPh sb="9" eb="11">
      <t>ハッセイ</t>
    </rPh>
    <rPh sb="11" eb="13">
      <t>ヒンド</t>
    </rPh>
    <phoneticPr fontId="3"/>
  </si>
  <si>
    <t>ヒアリング</t>
    <phoneticPr fontId="3"/>
  </si>
  <si>
    <t>落雷危険度マップ</t>
    <rPh sb="0" eb="2">
      <t>ラクライ</t>
    </rPh>
    <rPh sb="2" eb="5">
      <t>キケンド</t>
    </rPh>
    <phoneticPr fontId="3"/>
  </si>
  <si>
    <t>フランクリンジャパン</t>
    <phoneticPr fontId="3"/>
  </si>
  <si>
    <t>降灰</t>
    <rPh sb="0" eb="2">
      <t>コウハイ</t>
    </rPh>
    <phoneticPr fontId="3"/>
  </si>
  <si>
    <t>降灰量</t>
    <rPh sb="0" eb="2">
      <t>コウハイ</t>
    </rPh>
    <rPh sb="2" eb="3">
      <t>リョウ</t>
    </rPh>
    <phoneticPr fontId="3"/>
  </si>
  <si>
    <t>火山ハザードマップ</t>
    <rPh sb="0" eb="2">
      <t>カザン</t>
    </rPh>
    <phoneticPr fontId="3"/>
  </si>
  <si>
    <t>火山泥流</t>
    <rPh sb="0" eb="2">
      <t>カザン</t>
    </rPh>
    <rPh sb="2" eb="4">
      <t>デイリュウ</t>
    </rPh>
    <phoneticPr fontId="3"/>
  </si>
  <si>
    <t>危険区域への該当有無</t>
    <rPh sb="0" eb="2">
      <t>キケン</t>
    </rPh>
    <rPh sb="2" eb="4">
      <t>クイキ</t>
    </rPh>
    <rPh sb="6" eb="8">
      <t>ガイトウ</t>
    </rPh>
    <rPh sb="8" eb="10">
      <t>ウム</t>
    </rPh>
    <phoneticPr fontId="3"/>
  </si>
  <si>
    <t>15%(範囲外の場合は0%)</t>
    <rPh sb="4" eb="6">
      <t>ハンイ</t>
    </rPh>
    <rPh sb="6" eb="7">
      <t>ガイ</t>
    </rPh>
    <rPh sb="8" eb="10">
      <t>バアイ</t>
    </rPh>
    <phoneticPr fontId="3"/>
  </si>
  <si>
    <t>噴石</t>
    <rPh sb="0" eb="2">
      <t>フンセキ</t>
    </rPh>
    <phoneticPr fontId="3"/>
  </si>
  <si>
    <t>火山ガス</t>
    <rPh sb="0" eb="2">
      <t>カザン</t>
    </rPh>
    <phoneticPr fontId="3"/>
  </si>
  <si>
    <t>火災サージ</t>
    <rPh sb="0" eb="2">
      <t>カサイ</t>
    </rPh>
    <phoneticPr fontId="3"/>
  </si>
  <si>
    <t>ハザード評点</t>
    <rPh sb="4" eb="6">
      <t>ヒョウテン</t>
    </rPh>
    <phoneticPr fontId="3"/>
  </si>
  <si>
    <t>小項目1</t>
    <rPh sb="0" eb="3">
      <t>ショウコウモク</t>
    </rPh>
    <phoneticPr fontId="3"/>
  </si>
  <si>
    <t>小項目2</t>
    <rPh sb="0" eb="3">
      <t>ショウコウモク</t>
    </rPh>
    <phoneticPr fontId="3"/>
  </si>
  <si>
    <t>小項目3</t>
    <rPh sb="0" eb="3">
      <t>ショウコウモク</t>
    </rPh>
    <phoneticPr fontId="3"/>
  </si>
  <si>
    <t>小項目4</t>
    <rPh sb="0" eb="3">
      <t>ショウコウモク</t>
    </rPh>
    <phoneticPr fontId="3"/>
  </si>
  <si>
    <t>小項目5</t>
    <rPh sb="0" eb="3">
      <t>ショウコウモク</t>
    </rPh>
    <phoneticPr fontId="3"/>
  </si>
  <si>
    <t>小項目6</t>
    <rPh sb="0" eb="3">
      <t>ショウコウモク</t>
    </rPh>
    <phoneticPr fontId="3"/>
  </si>
  <si>
    <t>小項目7</t>
    <rPh sb="0" eb="3">
      <t>ショウコウモク</t>
    </rPh>
    <phoneticPr fontId="3"/>
  </si>
  <si>
    <t>小項目8</t>
    <rPh sb="0" eb="3">
      <t>ショウコウモク</t>
    </rPh>
    <phoneticPr fontId="3"/>
  </si>
  <si>
    <t>小項目9</t>
    <rPh sb="0" eb="3">
      <t>ショウコウモク</t>
    </rPh>
    <phoneticPr fontId="3"/>
  </si>
  <si>
    <t>～</t>
    <phoneticPr fontId="3"/>
  </si>
  <si>
    <t>★</t>
    <phoneticPr fontId="3"/>
  </si>
  <si>
    <t>★★</t>
    <phoneticPr fontId="3"/>
  </si>
  <si>
    <t>～</t>
    <phoneticPr fontId="3"/>
  </si>
  <si>
    <t>★★★</t>
    <phoneticPr fontId="3"/>
  </si>
  <si>
    <t>★★★★</t>
    <phoneticPr fontId="3"/>
  </si>
  <si>
    <t>★★★★★</t>
    <phoneticPr fontId="3"/>
  </si>
  <si>
    <t>＜満点スコア一覧＞</t>
    <rPh sb="1" eb="3">
      <t>マンテン</t>
    </rPh>
    <rPh sb="6" eb="8">
      <t>イチラン</t>
    </rPh>
    <phoneticPr fontId="3"/>
  </si>
  <si>
    <t>県庁所在地50ile%⇒</t>
    <rPh sb="0" eb="2">
      <t>ケンチョウ</t>
    </rPh>
    <rPh sb="2" eb="5">
      <t>ショザイチ</t>
    </rPh>
    <phoneticPr fontId="3"/>
  </si>
  <si>
    <t>①-2_レポート用(ハザード)</t>
    <phoneticPr fontId="3"/>
  </si>
  <si>
    <t>30年以内に各震度以上の揺れに見舞われる確率</t>
    <rPh sb="2" eb="3">
      <t>ネン</t>
    </rPh>
    <rPh sb="3" eb="5">
      <t>イナイ</t>
    </rPh>
    <rPh sb="6" eb="7">
      <t>カク</t>
    </rPh>
    <rPh sb="7" eb="9">
      <t>シンド</t>
    </rPh>
    <rPh sb="9" eb="11">
      <t>イジョウ</t>
    </rPh>
    <rPh sb="12" eb="13">
      <t>ユ</t>
    </rPh>
    <rPh sb="15" eb="17">
      <t>ミマ</t>
    </rPh>
    <rPh sb="20" eb="22">
      <t>カクリツ</t>
    </rPh>
    <phoneticPr fontId="3"/>
  </si>
  <si>
    <t>5弱以上</t>
  </si>
  <si>
    <t>5強以上</t>
  </si>
  <si>
    <t>６弱以上</t>
  </si>
  <si>
    <t>６強以上</t>
  </si>
  <si>
    <t>※赤字を調査者が編集する。</t>
    <rPh sb="1" eb="3">
      <t>アカジ</t>
    </rPh>
    <rPh sb="4" eb="6">
      <t>チョウサ</t>
    </rPh>
    <rPh sb="6" eb="7">
      <t>シャ</t>
    </rPh>
    <rPh sb="8" eb="10">
      <t>ヘンシュウ</t>
    </rPh>
    <phoneticPr fontId="3"/>
  </si>
  <si>
    <t>⇒</t>
    <phoneticPr fontId="3"/>
  </si>
  <si>
    <t>高い(26%以上)</t>
    <rPh sb="0" eb="1">
      <t>タカ</t>
    </rPh>
    <rPh sb="6" eb="8">
      <t>イジョウ</t>
    </rPh>
    <phoneticPr fontId="3"/>
  </si>
  <si>
    <t>やや高い(6%以上)</t>
    <rPh sb="2" eb="3">
      <t>タカ</t>
    </rPh>
    <rPh sb="7" eb="9">
      <t>イジョウ</t>
    </rPh>
    <phoneticPr fontId="3"/>
  </si>
  <si>
    <t>中程度(3%以上)</t>
    <rPh sb="0" eb="3">
      <t>チュウテイド</t>
    </rPh>
    <phoneticPr fontId="3"/>
  </si>
  <si>
    <t>やや低い(0.1%以上)</t>
    <rPh sb="2" eb="3">
      <t>ヒク</t>
    </rPh>
    <phoneticPr fontId="3"/>
  </si>
  <si>
    <t>低い(0.1%未満)</t>
    <rPh sb="0" eb="1">
      <t>ヒク</t>
    </rPh>
    <rPh sb="7" eb="9">
      <t>ミマン</t>
    </rPh>
    <phoneticPr fontId="3"/>
  </si>
  <si>
    <t>と考えられます。</t>
    <rPh sb="1" eb="2">
      <t>カンガ</t>
    </rPh>
    <phoneticPr fontId="3"/>
  </si>
  <si>
    <t>揺れの強さと発生確率からみた地震危険度は</t>
    <rPh sb="0" eb="1">
      <t>ユ</t>
    </rPh>
    <rPh sb="3" eb="4">
      <t>ツヨ</t>
    </rPh>
    <rPh sb="6" eb="8">
      <t>ハッセイ</t>
    </rPh>
    <rPh sb="8" eb="10">
      <t>カクリツ</t>
    </rPh>
    <rPh sb="14" eb="16">
      <t>ジシン</t>
    </rPh>
    <rPh sb="16" eb="19">
      <t>キケンド</t>
    </rPh>
    <phoneticPr fontId="3"/>
  </si>
  <si>
    <t>確率地震動</t>
    <rPh sb="0" eb="2">
      <t>カクリツ</t>
    </rPh>
    <rPh sb="2" eb="5">
      <t>ジシンドウ</t>
    </rPh>
    <phoneticPr fontId="3"/>
  </si>
  <si>
    <t>地盤増幅率</t>
    <rPh sb="0" eb="2">
      <t>ジバン</t>
    </rPh>
    <rPh sb="2" eb="4">
      <t>ゾウフク</t>
    </rPh>
    <rPh sb="4" eb="5">
      <t>リツ</t>
    </rPh>
    <phoneticPr fontId="3"/>
  </si>
  <si>
    <t>6強以上</t>
    <rPh sb="1" eb="2">
      <t>キョウ</t>
    </rPh>
    <rPh sb="2" eb="4">
      <t>イジョウ</t>
    </rPh>
    <phoneticPr fontId="3"/>
  </si>
  <si>
    <t>弱い</t>
    <rPh sb="0" eb="1">
      <t>ヨワ</t>
    </rPh>
    <phoneticPr fontId="3"/>
  </si>
  <si>
    <t>やや弱い</t>
    <rPh sb="2" eb="3">
      <t>ヨワ</t>
    </rPh>
    <phoneticPr fontId="3"/>
  </si>
  <si>
    <t>強い</t>
    <rPh sb="0" eb="1">
      <t>ツヨ</t>
    </rPh>
    <phoneticPr fontId="3"/>
  </si>
  <si>
    <t>やや強い</t>
    <rPh sb="2" eb="3">
      <t>ツヨ</t>
    </rPh>
    <phoneticPr fontId="3"/>
  </si>
  <si>
    <t>長期的に発生すると考えられる震度</t>
    <rPh sb="0" eb="2">
      <t>チョウキ</t>
    </rPh>
    <rPh sb="2" eb="3">
      <t>テキ</t>
    </rPh>
    <rPh sb="4" eb="6">
      <t>ハッセイ</t>
    </rPh>
    <rPh sb="9" eb="10">
      <t>カンガ</t>
    </rPh>
    <rPh sb="14" eb="16">
      <t>シンド</t>
    </rPh>
    <phoneticPr fontId="3"/>
  </si>
  <si>
    <t>非該当</t>
    <rPh sb="0" eb="3">
      <t>ヒガイトウ</t>
    </rPh>
    <phoneticPr fontId="3"/>
  </si>
  <si>
    <t>液状化危険度（全国250mメッシュマップ）</t>
    <rPh sb="0" eb="3">
      <t>エキジョウカ</t>
    </rPh>
    <rPh sb="3" eb="6">
      <t>キケンド</t>
    </rPh>
    <rPh sb="7" eb="9">
      <t>ゼンコク</t>
    </rPh>
    <phoneticPr fontId="3"/>
  </si>
  <si>
    <t>特定シナリオにおける液状化危険度・可能性</t>
    <rPh sb="0" eb="2">
      <t>トクテイ</t>
    </rPh>
    <rPh sb="10" eb="13">
      <t>エキジョウカ</t>
    </rPh>
    <rPh sb="13" eb="16">
      <t>キケンド</t>
    </rPh>
    <rPh sb="17" eb="19">
      <t>カノウ</t>
    </rPh>
    <rPh sb="19" eb="20">
      <t>セイ</t>
    </rPh>
    <phoneticPr fontId="3"/>
  </si>
  <si>
    <t>確率が・・・</t>
    <phoneticPr fontId="3"/>
  </si>
  <si>
    <t>地震</t>
    <rPh sb="0" eb="2">
      <t>ジシン</t>
    </rPh>
    <phoneticPr fontId="3"/>
  </si>
  <si>
    <t>強風発生頻度</t>
    <rPh sb="0" eb="2">
      <t>キョウフウ</t>
    </rPh>
    <rPh sb="2" eb="4">
      <t>ハッセイ</t>
    </rPh>
    <rPh sb="4" eb="6">
      <t>ヒンド</t>
    </rPh>
    <phoneticPr fontId="3"/>
  </si>
  <si>
    <t>0.1日以上観測</t>
    <rPh sb="3" eb="4">
      <t>ニチ</t>
    </rPh>
    <rPh sb="4" eb="6">
      <t>イジョウ</t>
    </rPh>
    <rPh sb="6" eb="8">
      <t>カンソク</t>
    </rPh>
    <phoneticPr fontId="3"/>
  </si>
  <si>
    <t>最大風速の階級別観測日数（平年値）</t>
    <rPh sb="0" eb="2">
      <t>サイダイ</t>
    </rPh>
    <rPh sb="2" eb="4">
      <t>フウソク</t>
    </rPh>
    <rPh sb="5" eb="7">
      <t>カイキュウ</t>
    </rPh>
    <rPh sb="7" eb="8">
      <t>ベツ</t>
    </rPh>
    <rPh sb="8" eb="10">
      <t>カンソク</t>
    </rPh>
    <rPh sb="10" eb="12">
      <t>ニッスウ</t>
    </rPh>
    <rPh sb="13" eb="16">
      <t>ヘイネンチ</t>
    </rPh>
    <phoneticPr fontId="3"/>
  </si>
  <si>
    <t>75%ile値を超過※</t>
    <rPh sb="6" eb="7">
      <t>チ</t>
    </rPh>
    <rPh sb="8" eb="10">
      <t>チョウカ</t>
    </rPh>
    <phoneticPr fontId="3"/>
  </si>
  <si>
    <t>50%ile値を超過※</t>
    <rPh sb="6" eb="7">
      <t>チ</t>
    </rPh>
    <rPh sb="8" eb="10">
      <t>チョウカ</t>
    </rPh>
    <phoneticPr fontId="3"/>
  </si>
  <si>
    <t>最大風速　観測最大値</t>
    <rPh sb="0" eb="2">
      <t>サイダイ</t>
    </rPh>
    <rPh sb="2" eb="4">
      <t>フウソク</t>
    </rPh>
    <rPh sb="5" eb="7">
      <t>カンソク</t>
    </rPh>
    <rPh sb="7" eb="9">
      <t>サイダイ</t>
    </rPh>
    <rPh sb="9" eb="10">
      <t>チ</t>
    </rPh>
    <phoneticPr fontId="3"/>
  </si>
  <si>
    <t>大きい</t>
    <rPh sb="0" eb="1">
      <t>オオ</t>
    </rPh>
    <phoneticPr fontId="3"/>
  </si>
  <si>
    <t>やや大きい</t>
    <rPh sb="2" eb="3">
      <t>オオ</t>
    </rPh>
    <phoneticPr fontId="3"/>
  </si>
  <si>
    <t>やや小さい</t>
    <rPh sb="2" eb="3">
      <t>チイ</t>
    </rPh>
    <phoneticPr fontId="3"/>
  </si>
  <si>
    <t>小さい</t>
    <rPh sb="0" eb="1">
      <t>チイ</t>
    </rPh>
    <phoneticPr fontId="3"/>
  </si>
  <si>
    <t>最大瞬間風速　観測最大値</t>
    <rPh sb="0" eb="2">
      <t>サイダイ</t>
    </rPh>
    <rPh sb="2" eb="4">
      <t>シュンカン</t>
    </rPh>
    <rPh sb="4" eb="6">
      <t>フウソク</t>
    </rPh>
    <rPh sb="7" eb="9">
      <t>カンソク</t>
    </rPh>
    <rPh sb="9" eb="11">
      <t>サイダイ</t>
    </rPh>
    <rPh sb="11" eb="12">
      <t>チ</t>
    </rPh>
    <phoneticPr fontId="3"/>
  </si>
  <si>
    <t>水災</t>
    <rPh sb="0" eb="2">
      <t>スイサイ</t>
    </rPh>
    <phoneticPr fontId="3"/>
  </si>
  <si>
    <t>河川氾濫</t>
    <rPh sb="0" eb="2">
      <t>カセン</t>
    </rPh>
    <rPh sb="2" eb="4">
      <t>ハンラン</t>
    </rPh>
    <phoneticPr fontId="3"/>
  </si>
  <si>
    <t>計画規模</t>
    <rPh sb="0" eb="2">
      <t>ケイカク</t>
    </rPh>
    <rPh sb="2" eb="4">
      <t>キボ</t>
    </rPh>
    <phoneticPr fontId="3"/>
  </si>
  <si>
    <t>シミュレーション</t>
  </si>
  <si>
    <t>内水氾濫</t>
    <rPh sb="0" eb="2">
      <t>ナイスイ</t>
    </rPh>
    <rPh sb="2" eb="4">
      <t>ハンラン</t>
    </rPh>
    <phoneticPr fontId="3"/>
  </si>
  <si>
    <t>ハザードマップ</t>
  </si>
  <si>
    <t>高潮</t>
    <rPh sb="0" eb="2">
      <t>タカシオ</t>
    </rPh>
    <phoneticPr fontId="3"/>
  </si>
  <si>
    <t>応用地質/250mメッシュ評価　→　微地形区分</t>
    <rPh sb="0" eb="2">
      <t>オウヨウ</t>
    </rPh>
    <rPh sb="2" eb="4">
      <t>チシツ</t>
    </rPh>
    <rPh sb="13" eb="15">
      <t>ヒョウカ</t>
    </rPh>
    <rPh sb="18" eb="19">
      <t>ビ</t>
    </rPh>
    <rPh sb="19" eb="21">
      <t>チケイ</t>
    </rPh>
    <rPh sb="21" eb="23">
      <t>クブン</t>
    </rPh>
    <phoneticPr fontId="3"/>
  </si>
  <si>
    <t>自治体ハザードマップ</t>
    <rPh sb="0" eb="3">
      <t>ジチタイ</t>
    </rPh>
    <phoneticPr fontId="3"/>
  </si>
  <si>
    <t>文献・ヒアリング</t>
    <phoneticPr fontId="3"/>
  </si>
  <si>
    <t>簡易版</t>
    <rPh sb="0" eb="3">
      <t>カンイバン</t>
    </rPh>
    <phoneticPr fontId="3"/>
  </si>
  <si>
    <t>詳細版</t>
    <rPh sb="0" eb="2">
      <t>ショウサイ</t>
    </rPh>
    <rPh sb="2" eb="3">
      <t>バン</t>
    </rPh>
    <phoneticPr fontId="3"/>
  </si>
  <si>
    <t>主要活断層/海溝型の地震震度</t>
    <rPh sb="0" eb="2">
      <t>シュヨウ</t>
    </rPh>
    <rPh sb="2" eb="5">
      <t>カツダンソウ</t>
    </rPh>
    <rPh sb="6" eb="9">
      <t>カイコウガタ</t>
    </rPh>
    <rPh sb="10" eb="12">
      <t>ジシン</t>
    </rPh>
    <rPh sb="12" eb="14">
      <t>シンド</t>
    </rPh>
    <phoneticPr fontId="3"/>
  </si>
  <si>
    <t>AVS30</t>
    <phoneticPr fontId="3"/>
  </si>
  <si>
    <t>南海トラフ、首都直下、重ねるHM</t>
    <rPh sb="0" eb="2">
      <t>ナンカイ</t>
    </rPh>
    <rPh sb="6" eb="8">
      <t>シュト</t>
    </rPh>
    <rPh sb="8" eb="10">
      <t>チョッカ</t>
    </rPh>
    <rPh sb="11" eb="12">
      <t>カサ</t>
    </rPh>
    <phoneticPr fontId="3"/>
  </si>
  <si>
    <t>文献・ヒアリング（東日本、南海）</t>
    <rPh sb="9" eb="10">
      <t>ヒガシ</t>
    </rPh>
    <rPh sb="10" eb="12">
      <t>ニホン</t>
    </rPh>
    <rPh sb="13" eb="15">
      <t>ナンカイ</t>
    </rPh>
    <phoneticPr fontId="3"/>
  </si>
  <si>
    <t>H24浸水想定区域（Magis,重ねるHM）</t>
    <rPh sb="3" eb="5">
      <t>シンスイ</t>
    </rPh>
    <rPh sb="5" eb="7">
      <t>ソウテイ</t>
    </rPh>
    <rPh sb="7" eb="9">
      <t>クイキ</t>
    </rPh>
    <rPh sb="16" eb="17">
      <t>カサ</t>
    </rPh>
    <phoneticPr fontId="3"/>
  </si>
  <si>
    <t>都道府県別の想定有無確認、あれば記載</t>
    <rPh sb="0" eb="4">
      <t>トドウフケン</t>
    </rPh>
    <rPh sb="4" eb="5">
      <t>ベツ</t>
    </rPh>
    <rPh sb="6" eb="8">
      <t>ソウテイ</t>
    </rPh>
    <rPh sb="8" eb="10">
      <t>ウム</t>
    </rPh>
    <rPh sb="10" eb="12">
      <t>カクニン</t>
    </rPh>
    <rPh sb="16" eb="18">
      <t>キサイ</t>
    </rPh>
    <phoneticPr fontId="3"/>
  </si>
  <si>
    <t>地域別設計用垂直積雪量</t>
    <phoneticPr fontId="3"/>
  </si>
  <si>
    <t>地域別設計用垂直積雪量（降灰）</t>
    <rPh sb="12" eb="14">
      <t>コウハイ</t>
    </rPh>
    <phoneticPr fontId="3"/>
  </si>
  <si>
    <t>ヒアリング</t>
    <phoneticPr fontId="3"/>
  </si>
  <si>
    <t>黄：記載、灰：記載なし</t>
    <rPh sb="0" eb="1">
      <t>キ</t>
    </rPh>
    <rPh sb="2" eb="4">
      <t>キサイ</t>
    </rPh>
    <rPh sb="5" eb="6">
      <t>ハイ</t>
    </rPh>
    <rPh sb="7" eb="9">
      <t>キサイ</t>
    </rPh>
    <phoneticPr fontId="3"/>
  </si>
  <si>
    <t>1_15</t>
    <phoneticPr fontId="3"/>
  </si>
  <si>
    <t>設置から10年以上経過するテント構造の建物を使用している</t>
    <rPh sb="0" eb="2">
      <t>セッチ</t>
    </rPh>
    <rPh sb="6" eb="7">
      <t>ネン</t>
    </rPh>
    <rPh sb="7" eb="9">
      <t>イジョウ</t>
    </rPh>
    <rPh sb="9" eb="11">
      <t>ケイカ</t>
    </rPh>
    <rPh sb="16" eb="18">
      <t>コウゾウ</t>
    </rPh>
    <rPh sb="19" eb="21">
      <t>タテモノ</t>
    </rPh>
    <rPh sb="22" eb="24">
      <t>シヨウ</t>
    </rPh>
    <phoneticPr fontId="3"/>
  </si>
  <si>
    <t>台風接近時など強風が予想される際は、屋外保管品の屋内への移動、または固定対策を実施している</t>
    <rPh sb="0" eb="2">
      <t>タイフウ</t>
    </rPh>
    <rPh sb="2" eb="4">
      <t>セッキン</t>
    </rPh>
    <rPh sb="4" eb="5">
      <t>ジ</t>
    </rPh>
    <rPh sb="7" eb="9">
      <t>キョウフウ</t>
    </rPh>
    <rPh sb="10" eb="12">
      <t>ヨソウ</t>
    </rPh>
    <rPh sb="15" eb="16">
      <t>サイ</t>
    </rPh>
    <rPh sb="18" eb="20">
      <t>オクガイ</t>
    </rPh>
    <rPh sb="20" eb="22">
      <t>ホカン</t>
    </rPh>
    <rPh sb="22" eb="23">
      <t>ヒン</t>
    </rPh>
    <rPh sb="24" eb="26">
      <t>オクナイ</t>
    </rPh>
    <rPh sb="28" eb="30">
      <t>イドウ</t>
    </rPh>
    <rPh sb="34" eb="36">
      <t>コテイ</t>
    </rPh>
    <rPh sb="36" eb="38">
      <t>タイサク</t>
    </rPh>
    <rPh sb="39" eb="41">
      <t>ジッシ</t>
    </rPh>
    <phoneticPr fontId="3"/>
  </si>
  <si>
    <t>台風を想定した避難訓練を年1回以上行っている</t>
    <rPh sb="0" eb="2">
      <t>タイフウ</t>
    </rPh>
    <rPh sb="3" eb="5">
      <t>ソウテイ</t>
    </rPh>
    <rPh sb="7" eb="9">
      <t>ヒナン</t>
    </rPh>
    <rPh sb="9" eb="11">
      <t>クンレン</t>
    </rPh>
    <rPh sb="12" eb="13">
      <t>ネン</t>
    </rPh>
    <rPh sb="14" eb="17">
      <t>カイイジョウ</t>
    </rPh>
    <rPh sb="17" eb="18">
      <t>オコナ</t>
    </rPh>
    <phoneticPr fontId="3"/>
  </si>
  <si>
    <t>台風接近時の避難場所を定めている</t>
    <rPh sb="0" eb="2">
      <t>タイフウ</t>
    </rPh>
    <rPh sb="2" eb="4">
      <t>セッキン</t>
    </rPh>
    <rPh sb="4" eb="5">
      <t>ジ</t>
    </rPh>
    <rPh sb="6" eb="8">
      <t>ヒナン</t>
    </rPh>
    <rPh sb="8" eb="10">
      <t>バショ</t>
    </rPh>
    <rPh sb="11" eb="12">
      <t>サダ</t>
    </rPh>
    <phoneticPr fontId="3"/>
  </si>
  <si>
    <t>避難場所を従業員に周知している</t>
    <rPh sb="0" eb="2">
      <t>ヒナン</t>
    </rPh>
    <rPh sb="2" eb="4">
      <t>バショ</t>
    </rPh>
    <rPh sb="5" eb="8">
      <t>ジュウギョウイン</t>
    </rPh>
    <rPh sb="9" eb="11">
      <t>シュウチ</t>
    </rPh>
    <phoneticPr fontId="3"/>
  </si>
  <si>
    <t>台風接近時の出退勤ルールがある</t>
    <rPh sb="0" eb="2">
      <t>タイフウ</t>
    </rPh>
    <rPh sb="2" eb="4">
      <t>セッキン</t>
    </rPh>
    <rPh sb="4" eb="5">
      <t>ジ</t>
    </rPh>
    <rPh sb="6" eb="9">
      <t>シュッタイキン</t>
    </rPh>
    <phoneticPr fontId="3"/>
  </si>
  <si>
    <t>台風接近・河川氾濫に備えた時系列行動計画（タイムライン）を策定している</t>
    <rPh sb="0" eb="2">
      <t>タイフウ</t>
    </rPh>
    <rPh sb="2" eb="4">
      <t>セッキン</t>
    </rPh>
    <rPh sb="5" eb="7">
      <t>カセン</t>
    </rPh>
    <rPh sb="7" eb="9">
      <t>ハンラン</t>
    </rPh>
    <rPh sb="10" eb="11">
      <t>ソナ</t>
    </rPh>
    <rPh sb="13" eb="16">
      <t>ジケイレツ</t>
    </rPh>
    <rPh sb="16" eb="18">
      <t>コウドウ</t>
    </rPh>
    <rPh sb="18" eb="20">
      <t>ケイカク</t>
    </rPh>
    <rPh sb="29" eb="31">
      <t>サクテイ</t>
    </rPh>
    <phoneticPr fontId="3"/>
  </si>
  <si>
    <t>施設の損傷個所を定期的に点検し、長期修繕計画に反映している</t>
    <rPh sb="0" eb="2">
      <t>シセツ</t>
    </rPh>
    <rPh sb="3" eb="5">
      <t>ソンショウ</t>
    </rPh>
    <rPh sb="5" eb="7">
      <t>カショ</t>
    </rPh>
    <rPh sb="8" eb="11">
      <t>テイキテキ</t>
    </rPh>
    <rPh sb="12" eb="14">
      <t>テンケン</t>
    </rPh>
    <rPh sb="16" eb="18">
      <t>チョウキ</t>
    </rPh>
    <rPh sb="18" eb="20">
      <t>シュウゼン</t>
    </rPh>
    <rPh sb="20" eb="22">
      <t>ケイカク</t>
    </rPh>
    <rPh sb="23" eb="25">
      <t>ハンエイ</t>
    </rPh>
    <phoneticPr fontId="3"/>
  </si>
  <si>
    <t>施設の損傷個所を定期的に点検し、都度修繕している</t>
    <rPh sb="0" eb="2">
      <t>シセツ</t>
    </rPh>
    <rPh sb="3" eb="5">
      <t>ソンショウ</t>
    </rPh>
    <rPh sb="5" eb="7">
      <t>カショ</t>
    </rPh>
    <rPh sb="8" eb="11">
      <t>テイキテキ</t>
    </rPh>
    <rPh sb="12" eb="14">
      <t>テンケン</t>
    </rPh>
    <rPh sb="16" eb="18">
      <t>ツド</t>
    </rPh>
    <rPh sb="18" eb="20">
      <t>シュウゼン</t>
    </rPh>
    <phoneticPr fontId="3"/>
  </si>
  <si>
    <t>風災+浸水</t>
    <rPh sb="0" eb="2">
      <t>フウサイ</t>
    </rPh>
    <rPh sb="3" eb="5">
      <t>シンスイ</t>
    </rPh>
    <phoneticPr fontId="3"/>
  </si>
  <si>
    <t>浸水可能性のある高さに生産設備や重要資産がある</t>
    <rPh sb="2" eb="5">
      <t>カノウセイ</t>
    </rPh>
    <rPh sb="8" eb="9">
      <t>タカ</t>
    </rPh>
    <phoneticPr fontId="3"/>
  </si>
  <si>
    <t>浸水可能性のある高さに図面や契約書類などの重要書物がある</t>
    <phoneticPr fontId="3"/>
  </si>
  <si>
    <t>浸水可能性のある高さにガス供給の制御を行う設備（マイコンメータ、ガバナ）が設置されているが、止水対策は行っていない</t>
    <rPh sb="2" eb="5">
      <t>カノウセイ</t>
    </rPh>
    <rPh sb="8" eb="9">
      <t>タカ</t>
    </rPh>
    <rPh sb="13" eb="15">
      <t>キョウキュウ</t>
    </rPh>
    <rPh sb="16" eb="18">
      <t>セイギョ</t>
    </rPh>
    <rPh sb="19" eb="20">
      <t>オコナ</t>
    </rPh>
    <rPh sb="21" eb="23">
      <t>セツビ</t>
    </rPh>
    <rPh sb="37" eb="39">
      <t>セッチ</t>
    </rPh>
    <rPh sb="46" eb="48">
      <t>シスイ</t>
    </rPh>
    <rPh sb="48" eb="50">
      <t>タイサク</t>
    </rPh>
    <rPh sb="51" eb="52">
      <t>オコナ</t>
    </rPh>
    <phoneticPr fontId="3"/>
  </si>
  <si>
    <t>浸水可能性のある高さに通信基幹設備が設置されているが、止水対策は行っていない</t>
    <rPh sb="2" eb="5">
      <t>カノウセイ</t>
    </rPh>
    <rPh sb="8" eb="9">
      <t>タカ</t>
    </rPh>
    <rPh sb="18" eb="20">
      <t>セッチ</t>
    </rPh>
    <rPh sb="27" eb="29">
      <t>シスイ</t>
    </rPh>
    <rPh sb="29" eb="31">
      <t>タイサク</t>
    </rPh>
    <rPh sb="32" eb="33">
      <t>オコナ</t>
    </rPh>
    <phoneticPr fontId="3"/>
  </si>
  <si>
    <t>気象情報アラートシステム、水位計などと連動して停止する設備がある</t>
    <rPh sb="0" eb="2">
      <t>キショウ</t>
    </rPh>
    <rPh sb="2" eb="4">
      <t>ジョウホウ</t>
    </rPh>
    <rPh sb="13" eb="16">
      <t>スイイケイ</t>
    </rPh>
    <rPh sb="19" eb="21">
      <t>レンドウ</t>
    </rPh>
    <rPh sb="23" eb="25">
      <t>テイシ</t>
    </rPh>
    <rPh sb="27" eb="29">
      <t>セツビ</t>
    </rPh>
    <phoneticPr fontId="3"/>
  </si>
  <si>
    <t>浸水可能性のある高さに、原材料や商品など多くの収容品が保管されている</t>
    <rPh sb="2" eb="5">
      <t>カノウセイ</t>
    </rPh>
    <rPh sb="8" eb="9">
      <t>タカ</t>
    </rPh>
    <rPh sb="12" eb="15">
      <t>ゲンザイリョウ</t>
    </rPh>
    <rPh sb="16" eb="18">
      <t>ショウヒン</t>
    </rPh>
    <rPh sb="20" eb="21">
      <t>オオ</t>
    </rPh>
    <rPh sb="23" eb="25">
      <t>シュウヨウ</t>
    </rPh>
    <rPh sb="25" eb="26">
      <t>ヒン</t>
    </rPh>
    <rPh sb="27" eb="29">
      <t>ホカン</t>
    </rPh>
    <phoneticPr fontId="3"/>
  </si>
  <si>
    <t>浸水可能性のある高さに、水に触れると発火・爆発のおそれがある禁水性物質（アルミ粉末）などを保管している</t>
    <rPh sb="2" eb="5">
      <t>カノウセイ</t>
    </rPh>
    <rPh sb="8" eb="9">
      <t>タカ</t>
    </rPh>
    <rPh sb="12" eb="13">
      <t>ミズ</t>
    </rPh>
    <rPh sb="14" eb="15">
      <t>フ</t>
    </rPh>
    <rPh sb="18" eb="20">
      <t>ハッカ</t>
    </rPh>
    <rPh sb="21" eb="23">
      <t>バクハツ</t>
    </rPh>
    <rPh sb="30" eb="32">
      <t>キンスイ</t>
    </rPh>
    <rPh sb="32" eb="33">
      <t>セイ</t>
    </rPh>
    <rPh sb="33" eb="35">
      <t>ブッシツ</t>
    </rPh>
    <rPh sb="39" eb="41">
      <t>フンマツ</t>
    </rPh>
    <rPh sb="45" eb="47">
      <t>ホカン</t>
    </rPh>
    <phoneticPr fontId="3"/>
  </si>
  <si>
    <t>※パーセンタイル値の母集団は47都道府県の県庁所在地観測データ</t>
    <rPh sb="8" eb="9">
      <t>チ</t>
    </rPh>
    <rPh sb="10" eb="13">
      <t>ボシュウダン</t>
    </rPh>
    <rPh sb="16" eb="20">
      <t>トドウフケン</t>
    </rPh>
    <rPh sb="21" eb="23">
      <t>ケンチョウ</t>
    </rPh>
    <rPh sb="23" eb="26">
      <t>ショザイチ</t>
    </rPh>
    <rPh sb="26" eb="28">
      <t>カンソク</t>
    </rPh>
    <phoneticPr fontId="3"/>
  </si>
  <si>
    <t>河川氾濫、大雨による浸水を対象とした緊急時計画を策定している</t>
    <rPh sb="0" eb="2">
      <t>カセン</t>
    </rPh>
    <rPh sb="2" eb="4">
      <t>ハンラン</t>
    </rPh>
    <rPh sb="5" eb="7">
      <t>オオアメ</t>
    </rPh>
    <rPh sb="10" eb="12">
      <t>シンスイ</t>
    </rPh>
    <rPh sb="13" eb="15">
      <t>タイショウ</t>
    </rPh>
    <rPh sb="18" eb="21">
      <t>キンキュウジ</t>
    </rPh>
    <rPh sb="21" eb="23">
      <t>ケイカク</t>
    </rPh>
    <rPh sb="24" eb="26">
      <t>サクテイ</t>
    </rPh>
    <phoneticPr fontId="3"/>
  </si>
  <si>
    <t>全ての出入口や重要資産を防護可能な量の土嚢または水嚢を用意している</t>
    <rPh sb="0" eb="1">
      <t>スベ</t>
    </rPh>
    <rPh sb="3" eb="6">
      <t>デイリグチ</t>
    </rPh>
    <rPh sb="7" eb="9">
      <t>ジュウヨウ</t>
    </rPh>
    <rPh sb="9" eb="11">
      <t>シサン</t>
    </rPh>
    <rPh sb="12" eb="14">
      <t>ボウゴ</t>
    </rPh>
    <rPh sb="14" eb="16">
      <t>カノウ</t>
    </rPh>
    <rPh sb="17" eb="18">
      <t>リョウ</t>
    </rPh>
    <rPh sb="19" eb="21">
      <t>ドノウ</t>
    </rPh>
    <rPh sb="24" eb="26">
      <t>スイノウ</t>
    </rPh>
    <rPh sb="27" eb="29">
      <t>ヨウイ</t>
    </rPh>
    <phoneticPr fontId="3"/>
  </si>
  <si>
    <t>土嚢や止水塀品により止水対策を行う重要資産がある</t>
    <rPh sb="0" eb="2">
      <t>ドノウ</t>
    </rPh>
    <rPh sb="3" eb="5">
      <t>シスイ</t>
    </rPh>
    <rPh sb="5" eb="6">
      <t>ヘイ</t>
    </rPh>
    <rPh sb="6" eb="7">
      <t>ヒン</t>
    </rPh>
    <rPh sb="10" eb="12">
      <t>シスイ</t>
    </rPh>
    <rPh sb="12" eb="14">
      <t>タイサク</t>
    </rPh>
    <rPh sb="15" eb="16">
      <t>オコナ</t>
    </rPh>
    <rPh sb="17" eb="19">
      <t>ジュウヨウ</t>
    </rPh>
    <rPh sb="19" eb="21">
      <t>シサン</t>
    </rPh>
    <phoneticPr fontId="3"/>
  </si>
  <si>
    <t>台風など強風が予想される際は、出入口、窓などの開口部を閉鎖する</t>
    <rPh sb="0" eb="2">
      <t>タイフウ</t>
    </rPh>
    <rPh sb="4" eb="6">
      <t>キョウフウ</t>
    </rPh>
    <rPh sb="7" eb="9">
      <t>ヨソウ</t>
    </rPh>
    <rPh sb="12" eb="13">
      <t>サイ</t>
    </rPh>
    <rPh sb="15" eb="18">
      <t>デイリグチ</t>
    </rPh>
    <rPh sb="19" eb="20">
      <t>マド</t>
    </rPh>
    <rPh sb="23" eb="26">
      <t>カイコウブ</t>
    </rPh>
    <rPh sb="27" eb="29">
      <t>ヘイサ</t>
    </rPh>
    <phoneticPr fontId="3"/>
  </si>
  <si>
    <t>屋根の表面に歪み・亀裂等が生じている</t>
    <rPh sb="0" eb="2">
      <t>ヤネ</t>
    </rPh>
    <rPh sb="3" eb="5">
      <t>ヒョウメン</t>
    </rPh>
    <rPh sb="6" eb="7">
      <t>ユガ</t>
    </rPh>
    <rPh sb="9" eb="11">
      <t>キレツ</t>
    </rPh>
    <rPh sb="11" eb="12">
      <t>トウ</t>
    </rPh>
    <rPh sb="13" eb="14">
      <t>ショウ</t>
    </rPh>
    <phoneticPr fontId="3"/>
  </si>
  <si>
    <t>数年以内に大規模修繕または建替が予定されている施設がある</t>
    <rPh sb="0" eb="2">
      <t>スウネン</t>
    </rPh>
    <rPh sb="2" eb="4">
      <t>イナイ</t>
    </rPh>
    <rPh sb="5" eb="8">
      <t>ダイキボ</t>
    </rPh>
    <rPh sb="8" eb="10">
      <t>シュウゼン</t>
    </rPh>
    <rPh sb="13" eb="15">
      <t>タテカ</t>
    </rPh>
    <rPh sb="16" eb="18">
      <t>ヨテイ</t>
    </rPh>
    <rPh sb="23" eb="25">
      <t>シセツ</t>
    </rPh>
    <phoneticPr fontId="3"/>
  </si>
  <si>
    <t>浸水可能性のある高さに防災備蓄品を保管している</t>
    <rPh sb="2" eb="5">
      <t>カノウセイ</t>
    </rPh>
    <rPh sb="8" eb="9">
      <t>タカ</t>
    </rPh>
    <rPh sb="11" eb="13">
      <t>ボウサイ</t>
    </rPh>
    <rPh sb="13" eb="15">
      <t>ビチク</t>
    </rPh>
    <rPh sb="15" eb="16">
      <t>ヒン</t>
    </rPh>
    <rPh sb="17" eb="19">
      <t>ホカン</t>
    </rPh>
    <phoneticPr fontId="3"/>
  </si>
  <si>
    <t>津波発生や河川氾濫などの緊急避難を要する場合に施設内の従業員・来訪者に避難を案内するための放送、または案内システムを構築している</t>
    <rPh sb="0" eb="2">
      <t>ツナミ</t>
    </rPh>
    <rPh sb="2" eb="4">
      <t>ハッセイ</t>
    </rPh>
    <rPh sb="5" eb="7">
      <t>カセン</t>
    </rPh>
    <rPh sb="7" eb="9">
      <t>ハンラン</t>
    </rPh>
    <rPh sb="12" eb="14">
      <t>キンキュウ</t>
    </rPh>
    <rPh sb="14" eb="16">
      <t>ヒナン</t>
    </rPh>
    <rPh sb="17" eb="18">
      <t>ヨウ</t>
    </rPh>
    <rPh sb="20" eb="22">
      <t>バアイ</t>
    </rPh>
    <rPh sb="23" eb="25">
      <t>シセツ</t>
    </rPh>
    <rPh sb="25" eb="26">
      <t>ナイ</t>
    </rPh>
    <rPh sb="27" eb="30">
      <t>ジュウギョウイン</t>
    </rPh>
    <rPh sb="31" eb="34">
      <t>ライホウシャ</t>
    </rPh>
    <rPh sb="35" eb="37">
      <t>ヒナン</t>
    </rPh>
    <rPh sb="38" eb="40">
      <t>アンナイ</t>
    </rPh>
    <rPh sb="45" eb="47">
      <t>ホウソウ</t>
    </rPh>
    <rPh sb="51" eb="53">
      <t>アンナイ</t>
    </rPh>
    <rPh sb="58" eb="60">
      <t>コウチク</t>
    </rPh>
    <phoneticPr fontId="3"/>
  </si>
  <si>
    <t>施設の長期修繕計画を策定している</t>
    <rPh sb="0" eb="2">
      <t>シセツ</t>
    </rPh>
    <rPh sb="3" eb="5">
      <t>チョウキ</t>
    </rPh>
    <rPh sb="5" eb="7">
      <t>シュウゼン</t>
    </rPh>
    <rPh sb="7" eb="9">
      <t>ケイカク</t>
    </rPh>
    <rPh sb="10" eb="12">
      <t>サクテイ</t>
    </rPh>
    <phoneticPr fontId="3"/>
  </si>
  <si>
    <t>建築年数が20年以上の主要施設がある
※直近15年以内に大規模修繕を実施している施設およびテントなど簡易建屋は除く</t>
    <rPh sb="0" eb="2">
      <t>ケンチク</t>
    </rPh>
    <rPh sb="2" eb="4">
      <t>ネンスウ</t>
    </rPh>
    <rPh sb="7" eb="10">
      <t>ネンイジョウ</t>
    </rPh>
    <rPh sb="11" eb="13">
      <t>シュヨウ</t>
    </rPh>
    <rPh sb="13" eb="15">
      <t>シセツ</t>
    </rPh>
    <rPh sb="40" eb="42">
      <t>シセツ</t>
    </rPh>
    <rPh sb="50" eb="52">
      <t>カンイ</t>
    </rPh>
    <rPh sb="52" eb="54">
      <t>タテヤ</t>
    </rPh>
    <rPh sb="55" eb="56">
      <t>ノゾ</t>
    </rPh>
    <phoneticPr fontId="3"/>
  </si>
  <si>
    <t>建築年数が40年以上の主要施設がある
※直近15年以内に大規模修繕を実施している施設およびテントなど簡易建屋は除く</t>
    <rPh sb="0" eb="2">
      <t>ケンチク</t>
    </rPh>
    <rPh sb="2" eb="4">
      <t>ネンスウ</t>
    </rPh>
    <rPh sb="7" eb="10">
      <t>ネンイジョウ</t>
    </rPh>
    <rPh sb="11" eb="13">
      <t>シュヨウ</t>
    </rPh>
    <rPh sb="13" eb="15">
      <t>シセツ</t>
    </rPh>
    <rPh sb="40" eb="42">
      <t>シセツ</t>
    </rPh>
    <rPh sb="50" eb="52">
      <t>カンイ</t>
    </rPh>
    <rPh sb="52" eb="54">
      <t>タテヤ</t>
    </rPh>
    <rPh sb="55" eb="56">
      <t>ノゾ</t>
    </rPh>
    <phoneticPr fontId="3"/>
  </si>
  <si>
    <t>外壁・屋根材にスレートや採光板を用いている建物がある
※カバー工法による対策を実施している場合を除く</t>
    <rPh sb="0" eb="2">
      <t>ガイヘキ</t>
    </rPh>
    <rPh sb="3" eb="5">
      <t>ヤネ</t>
    </rPh>
    <rPh sb="5" eb="6">
      <t>ザイ</t>
    </rPh>
    <rPh sb="12" eb="14">
      <t>サイコウ</t>
    </rPh>
    <rPh sb="14" eb="15">
      <t>イタ</t>
    </rPh>
    <rPh sb="16" eb="17">
      <t>モチ</t>
    </rPh>
    <rPh sb="21" eb="23">
      <t>タテモノ</t>
    </rPh>
    <rPh sb="31" eb="33">
      <t>コウホウ</t>
    </rPh>
    <rPh sb="36" eb="38">
      <t>タイサク</t>
    </rPh>
    <rPh sb="39" eb="41">
      <t>ジッシ</t>
    </rPh>
    <rPh sb="45" eb="47">
      <t>バアイ</t>
    </rPh>
    <rPh sb="48" eb="49">
      <t>ノゾ</t>
    </rPh>
    <phoneticPr fontId="3"/>
  </si>
  <si>
    <t>開口部の大きい建物出入口（金属シャッター、大型扉など）が多い
※強風時の固定対策が実施されている場合を除く</t>
    <rPh sb="0" eb="3">
      <t>カイコウブ</t>
    </rPh>
    <rPh sb="4" eb="5">
      <t>オオ</t>
    </rPh>
    <rPh sb="7" eb="9">
      <t>タテモノ</t>
    </rPh>
    <rPh sb="9" eb="12">
      <t>デイリグチ</t>
    </rPh>
    <rPh sb="13" eb="15">
      <t>キンゾク</t>
    </rPh>
    <rPh sb="21" eb="23">
      <t>オオガタ</t>
    </rPh>
    <rPh sb="23" eb="24">
      <t>トビラ</t>
    </rPh>
    <rPh sb="28" eb="29">
      <t>オオ</t>
    </rPh>
    <rPh sb="32" eb="34">
      <t>キョウフウ</t>
    </rPh>
    <rPh sb="34" eb="35">
      <t>ジ</t>
    </rPh>
    <rPh sb="36" eb="38">
      <t>コテイ</t>
    </rPh>
    <rPh sb="38" eb="40">
      <t>タイサク</t>
    </rPh>
    <rPh sb="41" eb="43">
      <t>ジッシ</t>
    </rPh>
    <rPh sb="48" eb="50">
      <t>バアイ</t>
    </rPh>
    <rPh sb="51" eb="52">
      <t>ノゾ</t>
    </rPh>
    <phoneticPr fontId="3"/>
  </si>
  <si>
    <t>シートシャッターが設置されている出入口がある
※金属製シャッターが併設されている場合を除く</t>
    <rPh sb="9" eb="11">
      <t>セッチ</t>
    </rPh>
    <rPh sb="16" eb="19">
      <t>デイリグチ</t>
    </rPh>
    <rPh sb="24" eb="27">
      <t>キンゾクセイ</t>
    </rPh>
    <rPh sb="33" eb="35">
      <t>ヘイセツ</t>
    </rPh>
    <rPh sb="40" eb="42">
      <t>バアイ</t>
    </rPh>
    <rPh sb="43" eb="44">
      <t>ノゾ</t>
    </rPh>
    <phoneticPr fontId="3"/>
  </si>
  <si>
    <t>テントの他に、膜材（キャンパス生地、テント生地、遮光・防風ネットなど）が屋外に露出している箇所がある
※強風時に収納・折り畳みを行い強風を受けない対策が行われている場合を除く</t>
    <rPh sb="4" eb="5">
      <t>ホカ</t>
    </rPh>
    <rPh sb="7" eb="8">
      <t>マク</t>
    </rPh>
    <rPh sb="8" eb="9">
      <t>ザイ</t>
    </rPh>
    <rPh sb="15" eb="17">
      <t>キジ</t>
    </rPh>
    <rPh sb="21" eb="23">
      <t>キジ</t>
    </rPh>
    <rPh sb="24" eb="26">
      <t>シャコウ</t>
    </rPh>
    <rPh sb="27" eb="29">
      <t>ボウフウ</t>
    </rPh>
    <rPh sb="36" eb="38">
      <t>オクガイ</t>
    </rPh>
    <rPh sb="39" eb="41">
      <t>ロシュツ</t>
    </rPh>
    <rPh sb="45" eb="47">
      <t>カショ</t>
    </rPh>
    <rPh sb="82" eb="84">
      <t>バアイ</t>
    </rPh>
    <rPh sb="85" eb="86">
      <t>ノゾ</t>
    </rPh>
    <phoneticPr fontId="3"/>
  </si>
  <si>
    <t>主要建物の1Fに地下ピット（半地下構造）がある
※地下ピットへの浸水対策（止水板、排水ポンプなど）が設けられている場合を除く</t>
    <rPh sb="0" eb="2">
      <t>シュヨウ</t>
    </rPh>
    <rPh sb="2" eb="4">
      <t>タテモノ</t>
    </rPh>
    <rPh sb="8" eb="10">
      <t>チカ</t>
    </rPh>
    <rPh sb="14" eb="15">
      <t>ハン</t>
    </rPh>
    <rPh sb="15" eb="17">
      <t>チカ</t>
    </rPh>
    <rPh sb="17" eb="19">
      <t>コウゾウ</t>
    </rPh>
    <rPh sb="25" eb="27">
      <t>チカ</t>
    </rPh>
    <rPh sb="32" eb="34">
      <t>シンスイ</t>
    </rPh>
    <rPh sb="34" eb="36">
      <t>タイサク</t>
    </rPh>
    <rPh sb="37" eb="39">
      <t>シスイ</t>
    </rPh>
    <rPh sb="39" eb="40">
      <t>バン</t>
    </rPh>
    <rPh sb="41" eb="43">
      <t>ハイスイ</t>
    </rPh>
    <rPh sb="50" eb="51">
      <t>モウ</t>
    </rPh>
    <rPh sb="57" eb="59">
      <t>バアイ</t>
    </rPh>
    <rPh sb="60" eb="61">
      <t>ノゾ</t>
    </rPh>
    <phoneticPr fontId="3"/>
  </si>
  <si>
    <t>主要建物の開口部に止水板（金属製）を用意している</t>
    <rPh sb="0" eb="2">
      <t>シュヨウ</t>
    </rPh>
    <rPh sb="2" eb="4">
      <t>タテモノ</t>
    </rPh>
    <rPh sb="5" eb="8">
      <t>カイコウブ</t>
    </rPh>
    <rPh sb="9" eb="11">
      <t>シスイ</t>
    </rPh>
    <rPh sb="11" eb="12">
      <t>イタ</t>
    </rPh>
    <rPh sb="13" eb="16">
      <t>キンゾクセイ</t>
    </rPh>
    <rPh sb="18" eb="20">
      <t>ヨウイ</t>
    </rPh>
    <phoneticPr fontId="3"/>
  </si>
  <si>
    <t>主要建物の開口部に止水製品（土嚢、簡易止水板、止水シートなど）を用意している</t>
    <rPh sb="0" eb="2">
      <t>シュヨウ</t>
    </rPh>
    <rPh sb="2" eb="4">
      <t>タテモノ</t>
    </rPh>
    <rPh sb="5" eb="8">
      <t>カイコウブ</t>
    </rPh>
    <rPh sb="9" eb="11">
      <t>シスイ</t>
    </rPh>
    <rPh sb="11" eb="13">
      <t>セイヒン</t>
    </rPh>
    <rPh sb="14" eb="16">
      <t>ドノウ</t>
    </rPh>
    <rPh sb="17" eb="19">
      <t>カンイ</t>
    </rPh>
    <rPh sb="19" eb="21">
      <t>シスイ</t>
    </rPh>
    <rPh sb="21" eb="22">
      <t>イタ</t>
    </rPh>
    <rPh sb="23" eb="25">
      <t>シスイ</t>
    </rPh>
    <rPh sb="32" eb="34">
      <t>ヨウイ</t>
    </rPh>
    <phoneticPr fontId="3"/>
  </si>
  <si>
    <t>浸水可能性のある高さに、大量の油類を保管している（漏洩防止対策なし）</t>
    <rPh sb="2" eb="5">
      <t>カノウセイ</t>
    </rPh>
    <rPh sb="8" eb="9">
      <t>タカ</t>
    </rPh>
    <rPh sb="12" eb="14">
      <t>タイリョウ</t>
    </rPh>
    <rPh sb="15" eb="16">
      <t>アブラ</t>
    </rPh>
    <rPh sb="16" eb="17">
      <t>ルイ</t>
    </rPh>
    <rPh sb="18" eb="20">
      <t>ホカン</t>
    </rPh>
    <rPh sb="25" eb="27">
      <t>ロウエイ</t>
    </rPh>
    <rPh sb="27" eb="29">
      <t>ボウシ</t>
    </rPh>
    <rPh sb="29" eb="31">
      <t>タイサク</t>
    </rPh>
    <phoneticPr fontId="3"/>
  </si>
  <si>
    <t>浸水可能性のある高さに、大量の油類を保管している（漏洩防止対策あり）</t>
    <rPh sb="2" eb="5">
      <t>カノウセイ</t>
    </rPh>
    <rPh sb="8" eb="9">
      <t>タカ</t>
    </rPh>
    <rPh sb="12" eb="14">
      <t>タイリョウ</t>
    </rPh>
    <rPh sb="15" eb="16">
      <t>アブラ</t>
    </rPh>
    <rPh sb="16" eb="17">
      <t>ルイ</t>
    </rPh>
    <rPh sb="18" eb="20">
      <t>ホカン</t>
    </rPh>
    <rPh sb="25" eb="27">
      <t>ロウエイ</t>
    </rPh>
    <rPh sb="27" eb="29">
      <t>ボウシ</t>
    </rPh>
    <rPh sb="29" eb="31">
      <t>タイサク</t>
    </rPh>
    <phoneticPr fontId="3"/>
  </si>
  <si>
    <t>浸水可能性のある高さに、毒劇物を保管している（漏洩防止対策なし）</t>
    <rPh sb="2" eb="5">
      <t>カノウセイ</t>
    </rPh>
    <rPh sb="8" eb="9">
      <t>タカ</t>
    </rPh>
    <rPh sb="12" eb="13">
      <t>ドク</t>
    </rPh>
    <rPh sb="13" eb="15">
      <t>ゲキブツ</t>
    </rPh>
    <rPh sb="16" eb="18">
      <t>ホカン</t>
    </rPh>
    <rPh sb="23" eb="25">
      <t>ロウエイ</t>
    </rPh>
    <rPh sb="25" eb="27">
      <t>ボウシ</t>
    </rPh>
    <rPh sb="27" eb="29">
      <t>タイサク</t>
    </rPh>
    <phoneticPr fontId="3"/>
  </si>
  <si>
    <t>浸水可能性のある高さに、毒劇物を保管している（漏洩防止対策あり）</t>
    <rPh sb="2" eb="5">
      <t>カノウセイ</t>
    </rPh>
    <rPh sb="8" eb="9">
      <t>タカ</t>
    </rPh>
    <rPh sb="12" eb="13">
      <t>ドク</t>
    </rPh>
    <rPh sb="13" eb="15">
      <t>ゲキブツ</t>
    </rPh>
    <rPh sb="16" eb="18">
      <t>ホカン</t>
    </rPh>
    <rPh sb="23" eb="25">
      <t>ロウエイ</t>
    </rPh>
    <rPh sb="25" eb="27">
      <t>ボウシ</t>
    </rPh>
    <rPh sb="27" eb="29">
      <t>タイサク</t>
    </rPh>
    <phoneticPr fontId="3"/>
  </si>
  <si>
    <t>浸水可能性のある高さに、その他漏洩すると影響が大きい物質を保管している（漏洩防止対策なし）</t>
    <rPh sb="2" eb="5">
      <t>カノウセイ</t>
    </rPh>
    <rPh sb="8" eb="9">
      <t>タカ</t>
    </rPh>
    <rPh sb="14" eb="15">
      <t>ホカ</t>
    </rPh>
    <rPh sb="15" eb="17">
      <t>ロウエイ</t>
    </rPh>
    <rPh sb="20" eb="22">
      <t>エイキョウ</t>
    </rPh>
    <rPh sb="23" eb="24">
      <t>オオ</t>
    </rPh>
    <rPh sb="26" eb="28">
      <t>ブッシツ</t>
    </rPh>
    <rPh sb="29" eb="31">
      <t>ホカン</t>
    </rPh>
    <rPh sb="36" eb="38">
      <t>ロウエイ</t>
    </rPh>
    <rPh sb="38" eb="40">
      <t>ボウシ</t>
    </rPh>
    <rPh sb="40" eb="42">
      <t>タイサク</t>
    </rPh>
    <phoneticPr fontId="3"/>
  </si>
  <si>
    <t>浸水可能性のある高さに、その他漏洩すると影響が大きい物質を保管している（漏洩防止対策あり）</t>
    <rPh sb="2" eb="5">
      <t>カノウセイ</t>
    </rPh>
    <rPh sb="8" eb="9">
      <t>タカ</t>
    </rPh>
    <rPh sb="14" eb="15">
      <t>ホカ</t>
    </rPh>
    <rPh sb="15" eb="17">
      <t>ロウエイ</t>
    </rPh>
    <rPh sb="20" eb="22">
      <t>エイキョウ</t>
    </rPh>
    <rPh sb="23" eb="24">
      <t>オオ</t>
    </rPh>
    <rPh sb="26" eb="28">
      <t>ブッシツ</t>
    </rPh>
    <rPh sb="29" eb="31">
      <t>ホカン</t>
    </rPh>
    <rPh sb="36" eb="38">
      <t>ロウエイ</t>
    </rPh>
    <rPh sb="38" eb="40">
      <t>ボウシ</t>
    </rPh>
    <rPh sb="40" eb="42">
      <t>タイサク</t>
    </rPh>
    <phoneticPr fontId="3"/>
  </si>
  <si>
    <t>＜ワースト＞</t>
    <phoneticPr fontId="3"/>
  </si>
  <si>
    <t>＜ベスト＞</t>
    <phoneticPr fontId="3"/>
  </si>
  <si>
    <t>テント倉庫など簡易構造の建物を使用している</t>
    <rPh sb="3" eb="5">
      <t>ソウコ</t>
    </rPh>
    <rPh sb="7" eb="9">
      <t>カンイ</t>
    </rPh>
    <rPh sb="9" eb="11">
      <t>コウゾウ</t>
    </rPh>
    <rPh sb="12" eb="14">
      <t>タテモノ</t>
    </rPh>
    <rPh sb="15" eb="17">
      <t>シヨウ</t>
    </rPh>
    <phoneticPr fontId="3"/>
  </si>
  <si>
    <t>浸水可能性のある高さに変圧器、配電盤、分電盤が設置されているが、止水対策は行っていない</t>
    <rPh sb="11" eb="14">
      <t>ヘンアツキ</t>
    </rPh>
    <rPh sb="15" eb="18">
      <t>ハイデンバン</t>
    </rPh>
    <rPh sb="19" eb="22">
      <t>ブンデンバン</t>
    </rPh>
    <rPh sb="23" eb="25">
      <t>セッチ</t>
    </rPh>
    <rPh sb="32" eb="34">
      <t>シスイ</t>
    </rPh>
    <rPh sb="34" eb="36">
      <t>タイサク</t>
    </rPh>
    <rPh sb="37" eb="38">
      <t>オコナ</t>
    </rPh>
    <phoneticPr fontId="3"/>
  </si>
  <si>
    <t>地下階を有する主要建物がある
※地下階への浸水対策（止水板、排水ポンプなど）が設けられている場合を除く</t>
    <rPh sb="0" eb="2">
      <t>チカ</t>
    </rPh>
    <rPh sb="2" eb="3">
      <t>カイ</t>
    </rPh>
    <rPh sb="4" eb="5">
      <t>ユウ</t>
    </rPh>
    <rPh sb="7" eb="9">
      <t>シュヨウ</t>
    </rPh>
    <rPh sb="9" eb="11">
      <t>タテモノ</t>
    </rPh>
    <rPh sb="18" eb="19">
      <t>カイ</t>
    </rPh>
    <phoneticPr fontId="3"/>
  </si>
  <si>
    <t>浸水可能性のある高さに、浸水により発火、爆発する生産工程があるが、止水対策は行っていない（緊急停止による安全確保不可能）</t>
    <rPh sb="45" eb="47">
      <t>キンキュウ</t>
    </rPh>
    <rPh sb="47" eb="49">
      <t>テイシ</t>
    </rPh>
    <rPh sb="52" eb="54">
      <t>アンゼン</t>
    </rPh>
    <rPh sb="54" eb="56">
      <t>カクホ</t>
    </rPh>
    <rPh sb="56" eb="57">
      <t>フ</t>
    </rPh>
    <rPh sb="57" eb="59">
      <t>カノウ</t>
    </rPh>
    <phoneticPr fontId="3"/>
  </si>
  <si>
    <t>浸水可能性のある高さに、浸水により発火、爆発する生産工程があるが、止水対策は行っていない（緊急停止により安全確保可能）</t>
    <rPh sb="45" eb="47">
      <t>キンキュウ</t>
    </rPh>
    <rPh sb="47" eb="49">
      <t>テイシ</t>
    </rPh>
    <rPh sb="52" eb="54">
      <t>アンゼン</t>
    </rPh>
    <rPh sb="54" eb="56">
      <t>カクホ</t>
    </rPh>
    <rPh sb="56" eb="58">
      <t>カノウ</t>
    </rPh>
    <phoneticPr fontId="3"/>
  </si>
  <si>
    <t>3_06がワースト</t>
    <phoneticPr fontId="3"/>
  </si>
  <si>
    <t>3_06と同じ</t>
    <rPh sb="5" eb="6">
      <t>オナ</t>
    </rPh>
    <phoneticPr fontId="3"/>
  </si>
  <si>
    <t>6_01がワースト</t>
    <phoneticPr fontId="3"/>
  </si>
  <si>
    <t>6_01と同じ</t>
    <rPh sb="5" eb="6">
      <t>オナ</t>
    </rPh>
    <phoneticPr fontId="3"/>
  </si>
  <si>
    <t>6_03と同じ</t>
    <rPh sb="5" eb="6">
      <t>オナ</t>
    </rPh>
    <phoneticPr fontId="3"/>
  </si>
  <si>
    <t>6_03がワースト</t>
    <phoneticPr fontId="3"/>
  </si>
  <si>
    <t>6_05と同じ</t>
    <rPh sb="5" eb="6">
      <t>オナ</t>
    </rPh>
    <phoneticPr fontId="3"/>
  </si>
  <si>
    <t>6_05がワースト</t>
    <phoneticPr fontId="3"/>
  </si>
  <si>
    <t>洪水など浸水が予想される場合、屋外保管品の屋内への移動対策を実施している</t>
    <rPh sb="0" eb="2">
      <t>コウズイ</t>
    </rPh>
    <rPh sb="4" eb="6">
      <t>シンスイ</t>
    </rPh>
    <rPh sb="7" eb="9">
      <t>ヨソウ</t>
    </rPh>
    <rPh sb="12" eb="14">
      <t>バアイ</t>
    </rPh>
    <rPh sb="15" eb="17">
      <t>オクガイ</t>
    </rPh>
    <rPh sb="17" eb="19">
      <t>ホカン</t>
    </rPh>
    <rPh sb="19" eb="20">
      <t>ヒン</t>
    </rPh>
    <rPh sb="21" eb="23">
      <t>オクナイ</t>
    </rPh>
    <rPh sb="25" eb="27">
      <t>イドウ</t>
    </rPh>
    <rPh sb="27" eb="29">
      <t>タイサク</t>
    </rPh>
    <rPh sb="30" eb="32">
      <t>ジッシ</t>
    </rPh>
    <phoneticPr fontId="3"/>
  </si>
  <si>
    <t>＜個別のリスク評点（報告書用）＞</t>
    <rPh sb="1" eb="3">
      <t>コベツ</t>
    </rPh>
    <rPh sb="7" eb="9">
      <t>ヒョウテン</t>
    </rPh>
    <rPh sb="10" eb="13">
      <t>ホウコクショ</t>
    </rPh>
    <rPh sb="13" eb="14">
      <t>ヨウ</t>
    </rPh>
    <phoneticPr fontId="3"/>
  </si>
  <si>
    <t>V1.0_20231205</t>
    <phoneticPr fontId="3"/>
  </si>
  <si>
    <t>高潮</t>
    <phoneticPr fontId="3"/>
  </si>
  <si>
    <t>２．生産設備・重要資産</t>
  </si>
  <si>
    <t>２．生産設備・重要資産</t>
    <rPh sb="2" eb="4">
      <t>セイサン</t>
    </rPh>
    <rPh sb="4" eb="6">
      <t>セツビ</t>
    </rPh>
    <rPh sb="7" eb="9">
      <t>ジュウヨウ</t>
    </rPh>
    <rPh sb="9" eb="11">
      <t>シサン</t>
    </rPh>
    <phoneticPr fontId="3"/>
  </si>
  <si>
    <t>３．ユーティリティ</t>
  </si>
  <si>
    <t>３．ユーティリティ</t>
    <phoneticPr fontId="3"/>
  </si>
  <si>
    <t>４．二次災害対策</t>
  </si>
  <si>
    <t>４．二次災害対策</t>
    <rPh sb="2" eb="4">
      <t>ニジ</t>
    </rPh>
    <rPh sb="4" eb="6">
      <t>サイガイ</t>
    </rPh>
    <rPh sb="6" eb="8">
      <t>タイサク</t>
    </rPh>
    <phoneticPr fontId="3"/>
  </si>
  <si>
    <t>６．人命安全</t>
  </si>
  <si>
    <t>６．人命安全</t>
    <rPh sb="2" eb="4">
      <t>ジンメイ</t>
    </rPh>
    <rPh sb="4" eb="6">
      <t>アンゼン</t>
    </rPh>
    <phoneticPr fontId="3"/>
  </si>
  <si>
    <t>１．建物・施設</t>
    <phoneticPr fontId="3"/>
  </si>
  <si>
    <t>５．防災計画等</t>
  </si>
  <si>
    <t>５．防災計画等</t>
    <phoneticPr fontId="3"/>
  </si>
  <si>
    <t>1_02</t>
    <phoneticPr fontId="3"/>
  </si>
  <si>
    <t>1_03</t>
    <phoneticPr fontId="3"/>
  </si>
  <si>
    <t>1_04</t>
    <phoneticPr fontId="3"/>
  </si>
  <si>
    <t>1_05</t>
    <phoneticPr fontId="3"/>
  </si>
  <si>
    <t>1_06</t>
    <phoneticPr fontId="3"/>
  </si>
  <si>
    <t>1_07</t>
    <phoneticPr fontId="3"/>
  </si>
  <si>
    <t>1_08</t>
    <phoneticPr fontId="3"/>
  </si>
  <si>
    <t>1_09</t>
    <phoneticPr fontId="3"/>
  </si>
  <si>
    <t>1_10</t>
    <phoneticPr fontId="3"/>
  </si>
  <si>
    <t>1_11</t>
    <phoneticPr fontId="3"/>
  </si>
  <si>
    <t>1_12</t>
    <phoneticPr fontId="3"/>
  </si>
  <si>
    <t>1_13</t>
    <phoneticPr fontId="3"/>
  </si>
  <si>
    <t>1_14</t>
    <phoneticPr fontId="3"/>
  </si>
  <si>
    <t>1_16</t>
    <phoneticPr fontId="3"/>
  </si>
  <si>
    <t>1_17</t>
    <phoneticPr fontId="3"/>
  </si>
  <si>
    <t>1_18</t>
    <phoneticPr fontId="3"/>
  </si>
  <si>
    <t>1_19</t>
    <phoneticPr fontId="3"/>
  </si>
  <si>
    <t>1_20</t>
    <phoneticPr fontId="3"/>
  </si>
  <si>
    <t>1_21</t>
    <phoneticPr fontId="3"/>
  </si>
  <si>
    <t>1_22</t>
    <phoneticPr fontId="3"/>
  </si>
  <si>
    <t>1_23</t>
    <phoneticPr fontId="3"/>
  </si>
  <si>
    <t>1_24</t>
    <phoneticPr fontId="3"/>
  </si>
  <si>
    <t>1_25</t>
    <phoneticPr fontId="3"/>
  </si>
  <si>
    <t>1_26</t>
    <phoneticPr fontId="3"/>
  </si>
  <si>
    <t>3_02</t>
    <phoneticPr fontId="3"/>
  </si>
  <si>
    <t>3_03</t>
    <phoneticPr fontId="3"/>
  </si>
  <si>
    <t>3_04</t>
    <phoneticPr fontId="3"/>
  </si>
  <si>
    <t>3_05</t>
    <phoneticPr fontId="3"/>
  </si>
  <si>
    <t>4_07</t>
  </si>
  <si>
    <t>4_08</t>
  </si>
  <si>
    <t>5_09</t>
  </si>
  <si>
    <t>4_09</t>
  </si>
  <si>
    <t>4_10</t>
  </si>
  <si>
    <t>2_01</t>
  </si>
  <si>
    <t>4_01</t>
  </si>
  <si>
    <t>4_06</t>
  </si>
  <si>
    <t>5_01</t>
  </si>
  <si>
    <t>１．施設・建物</t>
  </si>
  <si>
    <t>浸水可能性のある高さにサーバー室が設置されているが、止水対策は行っていない</t>
    <rPh sb="2" eb="5">
      <t>カノウセイ</t>
    </rPh>
    <rPh sb="8" eb="9">
      <t>タカ</t>
    </rPh>
    <rPh sb="15" eb="16">
      <t>シツ</t>
    </rPh>
    <rPh sb="17" eb="19">
      <t>セッチ</t>
    </rPh>
    <rPh sb="26" eb="28">
      <t>シスイ</t>
    </rPh>
    <rPh sb="28" eb="30">
      <t>タイサク</t>
    </rPh>
    <rPh sb="31" eb="32">
      <t>オコナ</t>
    </rPh>
    <phoneticPr fontId="3"/>
  </si>
  <si>
    <t>浸水可能性のある高さにボイラーが設置されているが、止水対策は行っていない</t>
    <rPh sb="2" eb="5">
      <t>カノウセイ</t>
    </rPh>
    <rPh sb="8" eb="9">
      <t>タカ</t>
    </rPh>
    <rPh sb="16" eb="18">
      <t>セッチ</t>
    </rPh>
    <rPh sb="25" eb="27">
      <t>シスイ</t>
    </rPh>
    <rPh sb="27" eb="29">
      <t>タイサク</t>
    </rPh>
    <rPh sb="30" eb="31">
      <t>オコナ</t>
    </rPh>
    <phoneticPr fontId="3"/>
  </si>
  <si>
    <t>浸水可能性のある高さにエアコンプレッサーが設置されているが、止水対策は行っていない</t>
    <rPh sb="2" eb="5">
      <t>カノウセイ</t>
    </rPh>
    <rPh sb="8" eb="9">
      <t>タカ</t>
    </rPh>
    <rPh sb="21" eb="23">
      <t>セッチ</t>
    </rPh>
    <rPh sb="30" eb="32">
      <t>シスイ</t>
    </rPh>
    <rPh sb="32" eb="34">
      <t>タイサク</t>
    </rPh>
    <rPh sb="35" eb="36">
      <t>オコナ</t>
    </rPh>
    <phoneticPr fontId="3"/>
  </si>
  <si>
    <t>台風を対象とした緊急時対応計画を策定している</t>
    <rPh sb="0" eb="2">
      <t>タイフウ</t>
    </rPh>
    <rPh sb="3" eb="5">
      <t>タイショウ</t>
    </rPh>
    <rPh sb="8" eb="11">
      <t>キンキュウジ</t>
    </rPh>
    <rPh sb="11" eb="13">
      <t>タイオウ</t>
    </rPh>
    <rPh sb="13" eb="15">
      <t>ケイカク</t>
    </rPh>
    <rPh sb="16" eb="18">
      <t>サクテイ</t>
    </rPh>
    <phoneticPr fontId="3"/>
  </si>
  <si>
    <t>15%(対象外立地の場合は0%)</t>
    <rPh sb="4" eb="7">
      <t>タイショウガイ</t>
    </rPh>
    <rPh sb="7" eb="9">
      <t>リッチ</t>
    </rPh>
    <rPh sb="10" eb="12">
      <t>バアイ</t>
    </rPh>
    <phoneticPr fontId="3"/>
  </si>
  <si>
    <t>自治体webサイト等</t>
    <rPh sb="0" eb="3">
      <t>ジチタイ</t>
    </rPh>
    <rPh sb="9" eb="10">
      <t>トウ</t>
    </rPh>
    <phoneticPr fontId="3"/>
  </si>
  <si>
    <t>浸水履歴</t>
    <rPh sb="0" eb="2">
      <t>シンスイ</t>
    </rPh>
    <rPh sb="2" eb="4">
      <t>リレキ</t>
    </rPh>
    <phoneticPr fontId="3"/>
  </si>
  <si>
    <t>風災履歴</t>
    <rPh sb="0" eb="2">
      <t>フウサイ</t>
    </rPh>
    <rPh sb="2" eb="4">
      <t>リレキ</t>
    </rPh>
    <phoneticPr fontId="3"/>
  </si>
  <si>
    <t>浸水想定区域図</t>
    <rPh sb="0" eb="2">
      <t>シンスイ</t>
    </rPh>
    <rPh sb="2" eb="4">
      <t>ソウテイ</t>
    </rPh>
    <rPh sb="4" eb="6">
      <t>クイキ</t>
    </rPh>
    <rPh sb="6" eb="7">
      <t>ズ</t>
    </rPh>
    <phoneticPr fontId="3"/>
  </si>
  <si>
    <t>地形（地理院地図・DioVISTAなど）</t>
    <rPh sb="0" eb="2">
      <t>チケイ</t>
    </rPh>
    <rPh sb="3" eb="5">
      <t>チリ</t>
    </rPh>
    <rPh sb="5" eb="6">
      <t>イン</t>
    </rPh>
    <rPh sb="6" eb="8">
      <t>チズ</t>
    </rPh>
    <phoneticPr fontId="3"/>
  </si>
  <si>
    <t>最大風速（階級別頻度）</t>
    <rPh sb="0" eb="2">
      <t>サイダイ</t>
    </rPh>
    <rPh sb="2" eb="4">
      <t>フウソク</t>
    </rPh>
    <rPh sb="5" eb="7">
      <t>カイキュウ</t>
    </rPh>
    <rPh sb="7" eb="8">
      <t>ベツ</t>
    </rPh>
    <rPh sb="8" eb="10">
      <t>ヒンド</t>
    </rPh>
    <phoneticPr fontId="3"/>
  </si>
  <si>
    <t>最大風速（最大値）</t>
    <rPh sb="0" eb="2">
      <t>サイダイ</t>
    </rPh>
    <rPh sb="2" eb="4">
      <t>フウソク</t>
    </rPh>
    <rPh sb="5" eb="8">
      <t>サイダイチ</t>
    </rPh>
    <phoneticPr fontId="3"/>
  </si>
  <si>
    <t>最大瞬間風速（最大値）</t>
    <rPh sb="0" eb="2">
      <t>サイダイ</t>
    </rPh>
    <rPh sb="2" eb="4">
      <t>シュンカン</t>
    </rPh>
    <rPh sb="4" eb="6">
      <t>フウソク</t>
    </rPh>
    <rPh sb="7" eb="10">
      <t>サイダイチ</t>
    </rPh>
    <phoneticPr fontId="3"/>
  </si>
  <si>
    <t>河川氾濫（想定最大規模）</t>
    <rPh sb="5" eb="7">
      <t>ソウテイ</t>
    </rPh>
    <rPh sb="7" eb="9">
      <t>サイダイ</t>
    </rPh>
    <rPh sb="9" eb="11">
      <t>キボ</t>
    </rPh>
    <phoneticPr fontId="3"/>
  </si>
  <si>
    <t>河川氾濫（計画規模）</t>
    <rPh sb="5" eb="7">
      <t>ケイカク</t>
    </rPh>
    <rPh sb="7" eb="9">
      <t>キボ</t>
    </rPh>
    <phoneticPr fontId="3"/>
  </si>
  <si>
    <t>内水氾濫（地形）</t>
    <rPh sb="5" eb="7">
      <t>チケイ</t>
    </rPh>
    <phoneticPr fontId="3"/>
  </si>
  <si>
    <t>内水氾濫（浸水想定）</t>
    <rPh sb="5" eb="7">
      <t>シンスイ</t>
    </rPh>
    <rPh sb="7" eb="9">
      <t>ソウテイ</t>
    </rPh>
    <phoneticPr fontId="3"/>
  </si>
  <si>
    <t>小項目8
（高潮）</t>
    <rPh sb="0" eb="3">
      <t>ショウコウモク</t>
    </rPh>
    <rPh sb="6" eb="8">
      <t>タカシオ</t>
    </rPh>
    <phoneticPr fontId="3"/>
  </si>
  <si>
    <t>小項目10
（履歴）</t>
    <rPh sb="0" eb="3">
      <t>ショウコウモク</t>
    </rPh>
    <rPh sb="7" eb="9">
      <t>リレキ</t>
    </rPh>
    <phoneticPr fontId="3"/>
  </si>
  <si>
    <t>小項目9
（高潮）</t>
    <rPh sb="0" eb="3">
      <t>ショウコウモク</t>
    </rPh>
    <rPh sb="6" eb="8">
      <t>タカシオ</t>
    </rPh>
    <phoneticPr fontId="3"/>
  </si>
  <si>
    <t>小項目7
（内水）</t>
    <rPh sb="0" eb="3">
      <t>ショウコウモク</t>
    </rPh>
    <rPh sb="6" eb="8">
      <t>ナイスイ</t>
    </rPh>
    <phoneticPr fontId="3"/>
  </si>
  <si>
    <t>小項目6
（内水）</t>
    <rPh sb="0" eb="3">
      <t>ショウコウモク</t>
    </rPh>
    <phoneticPr fontId="3"/>
  </si>
  <si>
    <t>小項目5
（内水）</t>
    <rPh sb="0" eb="3">
      <t>ショウコウモク</t>
    </rPh>
    <phoneticPr fontId="3"/>
  </si>
  <si>
    <t>小項目4
（河川）</t>
    <rPh sb="0" eb="3">
      <t>ショウコウモク</t>
    </rPh>
    <rPh sb="6" eb="8">
      <t>カセン</t>
    </rPh>
    <phoneticPr fontId="3"/>
  </si>
  <si>
    <t>小項目3
（河川）</t>
    <rPh sb="0" eb="3">
      <t>ショウコウモク</t>
    </rPh>
    <phoneticPr fontId="3"/>
  </si>
  <si>
    <t>小項目2
（河川）</t>
    <rPh sb="0" eb="3">
      <t>ショウコウモク</t>
    </rPh>
    <phoneticPr fontId="3"/>
  </si>
  <si>
    <t>小項目1
（河川）</t>
    <rPh sb="0" eb="3">
      <t>ショウコウモク</t>
    </rPh>
    <phoneticPr fontId="3"/>
  </si>
  <si>
    <t>小項目10</t>
    <rPh sb="0" eb="3">
      <t>ショウコウモク</t>
    </rPh>
    <phoneticPr fontId="3"/>
  </si>
  <si>
    <t>ユーティリティ</t>
  </si>
  <si>
    <t>施設・建物</t>
    <phoneticPr fontId="3"/>
  </si>
  <si>
    <t>生産設備
重要資産</t>
    <phoneticPr fontId="3"/>
  </si>
  <si>
    <t>二次災害対策</t>
    <phoneticPr fontId="3"/>
  </si>
  <si>
    <t>防災計画等</t>
    <phoneticPr fontId="3"/>
  </si>
  <si>
    <t>人命安全</t>
    <phoneticPr fontId="3"/>
  </si>
  <si>
    <r>
      <t>ハザード　</t>
    </r>
    <r>
      <rPr>
        <b/>
        <sz val="10.5"/>
        <color theme="1"/>
        <rFont val="游明朝"/>
        <family val="1"/>
        <charset val="128"/>
      </rPr>
      <t>※「高いスコア」＝「リスクが大きい」</t>
    </r>
    <phoneticPr fontId="3"/>
  </si>
  <si>
    <t>【風災】</t>
    <rPh sb="1" eb="3">
      <t>フウサイ</t>
    </rPh>
    <phoneticPr fontId="30"/>
  </si>
  <si>
    <t>―</t>
    <phoneticPr fontId="3"/>
  </si>
  <si>
    <t>【水災】</t>
    <rPh sb="1" eb="3">
      <t>スイサイ</t>
    </rPh>
    <phoneticPr fontId="30"/>
  </si>
  <si>
    <t>備考</t>
    <rPh sb="0" eb="2">
      <t>ビコウ</t>
    </rPh>
    <phoneticPr fontId="3"/>
  </si>
  <si>
    <t>中長期修繕計画は策定されていない</t>
    <rPh sb="0" eb="3">
      <t>チュウチョウキ</t>
    </rPh>
    <rPh sb="3" eb="5">
      <t>シュウゼン</t>
    </rPh>
    <rPh sb="5" eb="7">
      <t>ケイカク</t>
    </rPh>
    <rPh sb="8" eb="10">
      <t>サクテイ</t>
    </rPh>
    <phoneticPr fontId="3"/>
  </si>
  <si>
    <t>現地で確認済み</t>
    <rPh sb="0" eb="2">
      <t>ゲンチ</t>
    </rPh>
    <rPh sb="3" eb="5">
      <t>カクニン</t>
    </rPh>
    <rPh sb="5" eb="6">
      <t>ズ</t>
    </rPh>
    <phoneticPr fontId="3"/>
  </si>
  <si>
    <t>現地ヒアリングで確認</t>
    <rPh sb="0" eb="2">
      <t>ゲンチ</t>
    </rPh>
    <rPh sb="8" eb="10">
      <t>カクニン</t>
    </rPh>
    <phoneticPr fontId="3"/>
  </si>
  <si>
    <t>敷地外周の水路に土砂堆積</t>
    <rPh sb="0" eb="2">
      <t>シキチ</t>
    </rPh>
    <rPh sb="2" eb="4">
      <t>ガイシュウ</t>
    </rPh>
    <rPh sb="5" eb="7">
      <t>スイロ</t>
    </rPh>
    <rPh sb="8" eb="10">
      <t>ドシャ</t>
    </rPh>
    <rPh sb="10" eb="12">
      <t>タイセキ</t>
    </rPh>
    <phoneticPr fontId="3"/>
  </si>
  <si>
    <t>水路が接している</t>
    <rPh sb="0" eb="2">
      <t>スイロ</t>
    </rPh>
    <rPh sb="3" eb="4">
      <t>セッ</t>
    </rPh>
    <phoneticPr fontId="3"/>
  </si>
  <si>
    <t>1m程度嵩上げされている</t>
    <rPh sb="2" eb="4">
      <t>テイド</t>
    </rPh>
    <rPh sb="4" eb="6">
      <t>カサア</t>
    </rPh>
    <phoneticPr fontId="3"/>
  </si>
  <si>
    <t>保管物に危険物該当なし</t>
    <rPh sb="0" eb="2">
      <t>ホカン</t>
    </rPh>
    <rPh sb="2" eb="3">
      <t>ブツ</t>
    </rPh>
    <rPh sb="4" eb="7">
      <t>キケンブツ</t>
    </rPh>
    <rPh sb="7" eb="9">
      <t>ガイトウ</t>
    </rPh>
    <phoneticPr fontId="3"/>
  </si>
  <si>
    <t>外部サーバーを使用</t>
    <rPh sb="0" eb="2">
      <t>ガイブ</t>
    </rPh>
    <rPh sb="7" eb="9">
      <t>シヨウ</t>
    </rPh>
    <phoneticPr fontId="3"/>
  </si>
  <si>
    <t>危険物の保管無し</t>
    <rPh sb="0" eb="2">
      <t>キケン</t>
    </rPh>
    <rPh sb="2" eb="3">
      <t>ブツ</t>
    </rPh>
    <rPh sb="4" eb="6">
      <t>ホカン</t>
    </rPh>
    <rPh sb="6" eb="7">
      <t>ナ</t>
    </rPh>
    <phoneticPr fontId="3"/>
  </si>
  <si>
    <t>無線での連絡</t>
    <rPh sb="0" eb="2">
      <t>ムセン</t>
    </rPh>
    <rPh sb="4" eb="6">
      <t>レンラク</t>
    </rPh>
    <phoneticPr fontId="3"/>
  </si>
  <si>
    <r>
      <t>リスクコントロール　</t>
    </r>
    <r>
      <rPr>
        <b/>
        <sz val="10.5"/>
        <color theme="1"/>
        <rFont val="游明朝"/>
        <family val="1"/>
        <charset val="128"/>
      </rPr>
      <t>※「高いスコア」＝「管理・対策レベルが高い」</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</si>
</sst>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Red]\-#,##0.0"/>
    <numFmt numFmtId="178" formatCode="[&lt;=0]&quot;□&quot;;&quot;■&quot;"/>
    <numFmt numFmtId="179" formatCode="0&quot;/100&quot;"/>
  </numFmts>
  <fonts count="34" x14ac:knownFonts="1">
    <font>
      <sz val="11"/>
      <color theme="1"/>
      <name val="游ゴシック"/>
      <family val="2"/>
      <charset val="128"/>
      <scheme val="minor"/>
    </font>
    <font>
      <sz val="11"/>
      <color theme="1"/>
      <name val="ＭＳ Ｐゴシック"/>
      <family val="2"/>
      <charset val="128"/>
    </font>
    <font>
      <sz val="11"/>
      <color theme="1"/>
      <name val="游ゴシック"/>
      <family val="2"/>
      <charset val="128"/>
      <scheme val="minor"/>
    </font>
    <font>
      <sz val="6"/>
      <name val="游ゴシック"/>
      <family val="2"/>
      <charset val="128"/>
      <scheme val="minor"/>
    </font>
    <font>
      <sz val="11"/>
      <color theme="1"/>
      <name val="ＭＳ Ｐゴシック"/>
      <family val="3"/>
      <charset val="128"/>
    </font>
    <font>
      <sz val="18"/>
      <color rgb="FFFFFFFF"/>
      <name val="ＭＳ Ｐゴシック"/>
      <family val="3"/>
      <charset val="128"/>
    </font>
    <font>
      <sz val="18"/>
      <color rgb="FF000000"/>
      <name val="ＭＳ Ｐゴシック"/>
      <family val="3"/>
      <charset val="128"/>
    </font>
    <font>
      <sz val="18"/>
      <name val="ＭＳ Ｐゴシック"/>
      <family val="3"/>
      <charset val="128"/>
    </font>
    <font>
      <sz val="18"/>
      <color rgb="FFFF0000"/>
      <name val="ＭＳ Ｐゴシック"/>
      <family val="3"/>
      <charset val="128"/>
    </font>
    <font>
      <sz val="11"/>
      <color rgb="FFFF0000"/>
      <name val="游ゴシック"/>
      <family val="2"/>
      <charset val="128"/>
      <scheme val="minor"/>
    </font>
    <font>
      <b/>
      <sz val="11"/>
      <name val="游ゴシック"/>
      <family val="3"/>
      <charset val="128"/>
      <scheme val="minor"/>
    </font>
    <font>
      <b/>
      <sz val="14"/>
      <color theme="1"/>
      <name val="游ゴシック"/>
      <family val="3"/>
      <charset val="128"/>
      <scheme val="minor"/>
    </font>
    <font>
      <sz val="6"/>
      <name val="游ゴシック"/>
      <family val="3"/>
      <charset val="128"/>
      <scheme val="minor"/>
    </font>
    <font>
      <sz val="10"/>
      <name val="ＭＳ Ｐゴシック"/>
      <family val="3"/>
      <charset val="128"/>
    </font>
    <font>
      <sz val="10.5"/>
      <name val="ＭＳ 明朝"/>
      <family val="1"/>
      <charset val="128"/>
    </font>
    <font>
      <sz val="18"/>
      <color rgb="FF000000"/>
      <name val="メイリオ"/>
      <family val="3"/>
      <charset val="128"/>
    </font>
    <font>
      <sz val="10"/>
      <color theme="0"/>
      <name val="游ゴシック"/>
      <family val="3"/>
      <charset val="128"/>
      <scheme val="minor"/>
    </font>
    <font>
      <sz val="10.5"/>
      <color theme="1"/>
      <name val="游ゴシック"/>
      <family val="3"/>
      <charset val="128"/>
      <scheme val="minor"/>
    </font>
    <font>
      <sz val="11"/>
      <name val="游ゴシック"/>
      <family val="3"/>
      <charset val="128"/>
      <scheme val="minor"/>
    </font>
    <font>
      <sz val="11"/>
      <color theme="0"/>
      <name val="游ゴシック"/>
      <family val="2"/>
      <charset val="128"/>
      <scheme val="minor"/>
    </font>
    <font>
      <sz val="11"/>
      <color theme="0"/>
      <name val="游ゴシック"/>
      <family val="3"/>
      <charset val="128"/>
      <scheme val="minor"/>
    </font>
    <font>
      <sz val="11"/>
      <color theme="1"/>
      <name val="Meiryo UI"/>
      <family val="3"/>
      <charset val="128"/>
    </font>
    <font>
      <b/>
      <sz val="11"/>
      <color rgb="FFFF0000"/>
      <name val="Meiryo UI"/>
      <family val="3"/>
      <charset val="128"/>
    </font>
    <font>
      <sz val="11"/>
      <color rgb="FFFF0000"/>
      <name val="Meiryo UI"/>
      <family val="3"/>
      <charset val="128"/>
    </font>
    <font>
      <sz val="10.5"/>
      <name val="Meiryo UI"/>
      <family val="3"/>
      <charset val="128"/>
    </font>
    <font>
      <sz val="11"/>
      <color rgb="FF0000FF"/>
      <name val="Meiryo UI"/>
      <family val="3"/>
      <charset val="128"/>
    </font>
    <font>
      <sz val="10.5"/>
      <color rgb="FFFF0000"/>
      <name val="Meiryo UI"/>
      <family val="3"/>
      <charset val="128"/>
    </font>
    <font>
      <sz val="11"/>
      <color theme="1"/>
      <name val="游ゴシック"/>
      <family val="3"/>
      <charset val="128"/>
      <scheme val="minor"/>
    </font>
    <font>
      <b/>
      <sz val="10.5"/>
      <color rgb="FFFF0000"/>
      <name val="Meiryo UI"/>
      <family val="3"/>
      <charset val="128"/>
    </font>
    <font>
      <sz val="10"/>
      <color theme="1"/>
      <name val="游明朝"/>
      <family val="1"/>
      <charset val="128"/>
    </font>
    <font>
      <sz val="6"/>
      <name val="ＭＳ Ｐゴシック"/>
      <family val="2"/>
      <charset val="128"/>
    </font>
    <font>
      <b/>
      <sz val="10"/>
      <color theme="1"/>
      <name val="游明朝"/>
      <family val="1"/>
      <charset val="128"/>
    </font>
    <font>
      <b/>
      <sz val="10"/>
      <color rgb="FF000000"/>
      <name val="游明朝"/>
      <family val="1"/>
      <charset val="128"/>
    </font>
    <font>
      <b/>
      <sz val="10.5"/>
      <color theme="1"/>
      <name val="游明朝"/>
      <family val="1"/>
      <charset val="128"/>
    </font>
  </fonts>
  <fills count="27">
    <fill>
      <patternFill patternType="none"/>
    </fill>
    <fill>
      <patternFill patternType="gray125"/>
    </fill>
    <fill>
      <patternFill patternType="solid">
        <fgColor rgb="FF006666"/>
        <bgColor indexed="64"/>
      </patternFill>
    </fill>
    <fill>
      <patternFill patternType="solid">
        <fgColor rgb="FF7F7F7F"/>
        <bgColor indexed="64"/>
      </patternFill>
    </fill>
    <fill>
      <patternFill patternType="solid">
        <fgColor rgb="FFD33C31"/>
        <bgColor indexed="64"/>
      </patternFill>
    </fill>
    <fill>
      <patternFill patternType="solid">
        <fgColor rgb="FFFFF4C5"/>
        <bgColor indexed="64"/>
      </patternFill>
    </fill>
    <fill>
      <patternFill patternType="solid">
        <fgColor rgb="FF59DEC4"/>
        <bgColor indexed="64"/>
      </patternFill>
    </fill>
    <fill>
      <patternFill patternType="solid">
        <fgColor rgb="FFD9D9D9"/>
        <bgColor indexed="64"/>
      </patternFill>
    </fill>
    <fill>
      <patternFill patternType="solid">
        <fgColor rgb="FFF4CECB"/>
        <bgColor indexed="64"/>
      </patternFill>
    </fill>
    <fill>
      <patternFill patternType="solid">
        <fgColor theme="7"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D96A75"/>
        <bgColor indexed="64"/>
      </patternFill>
    </fill>
    <fill>
      <patternFill patternType="solid">
        <fgColor theme="0"/>
        <bgColor indexed="64"/>
      </patternFill>
    </fill>
    <fill>
      <patternFill patternType="solid">
        <fgColor rgb="FFFAB067"/>
        <bgColor indexed="64"/>
      </patternFill>
    </fill>
    <fill>
      <patternFill patternType="solid">
        <fgColor rgb="FF8DC182"/>
        <bgColor indexed="64"/>
      </patternFill>
    </fill>
    <fill>
      <patternFill patternType="solid">
        <fgColor rgb="FF006C60"/>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9"/>
        <bgColor indexed="64"/>
      </patternFill>
    </fill>
    <fill>
      <patternFill patternType="solid">
        <fgColor theme="7"/>
        <bgColor indexed="64"/>
      </patternFill>
    </fill>
    <fill>
      <patternFill patternType="solid">
        <fgColor theme="2"/>
        <bgColor indexed="64"/>
      </patternFill>
    </fill>
    <fill>
      <patternFill patternType="solid">
        <fgColor theme="9" tint="0.59999389629810485"/>
        <bgColor indexed="64"/>
      </patternFill>
    </fill>
    <fill>
      <patternFill patternType="solid">
        <fgColor rgb="FFDEEAF6"/>
        <bgColor indexed="64"/>
      </patternFill>
    </fill>
  </fills>
  <borders count="3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medium">
        <color rgb="FFFF0000"/>
      </top>
      <bottom/>
      <diagonal/>
    </border>
    <border>
      <left/>
      <right style="medium">
        <color rgb="FFFF0000"/>
      </right>
      <top style="medium">
        <color rgb="FFFF0000"/>
      </top>
      <bottom/>
      <diagonal/>
    </border>
    <border>
      <left/>
      <right style="medium">
        <color rgb="FFFF0000"/>
      </right>
      <top/>
      <bottom/>
      <diagonal/>
    </border>
    <border>
      <left/>
      <right/>
      <top/>
      <bottom style="medium">
        <color rgb="FFFF0000"/>
      </bottom>
      <diagonal/>
    </border>
    <border>
      <left/>
      <right style="medium">
        <color rgb="FFFF0000"/>
      </right>
      <top/>
      <bottom style="medium">
        <color rgb="FFFF0000"/>
      </bottom>
      <diagonal/>
    </border>
    <border>
      <left style="medium">
        <color rgb="FFBFBFBF"/>
      </left>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top style="medium">
        <color rgb="FFBFBFBF"/>
      </top>
      <bottom style="medium">
        <color rgb="FFBFBFBF"/>
      </bottom>
      <diagonal/>
    </border>
  </borders>
  <cellStyleXfs count="5">
    <xf numFmtId="0" fontId="0" fillId="0" borderId="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xf numFmtId="0" fontId="13" fillId="0" borderId="0">
      <alignment vertical="center"/>
    </xf>
    <xf numFmtId="0" fontId="1" fillId="0" borderId="0">
      <alignment vertical="center"/>
    </xf>
  </cellStyleXfs>
  <cellXfs count="241">
    <xf numFmtId="0" fontId="0" fillId="0" borderId="0" xfId="0">
      <alignment vertical="center"/>
    </xf>
    <xf numFmtId="0" fontId="0" fillId="0" borderId="0" xfId="0" applyAlignment="1">
      <alignment horizontal="center" vertical="center"/>
    </xf>
    <xf numFmtId="9" fontId="0" fillId="0" borderId="0" xfId="0" applyNumberFormat="1">
      <alignment vertical="center"/>
    </xf>
    <xf numFmtId="0" fontId="0" fillId="0" borderId="0" xfId="0" applyFill="1">
      <alignment vertical="center"/>
    </xf>
    <xf numFmtId="0" fontId="0" fillId="0" borderId="0" xfId="0" applyFill="1" applyAlignment="1">
      <alignment horizontal="center" vertical="center"/>
    </xf>
    <xf numFmtId="0" fontId="0" fillId="0" borderId="0" xfId="0" applyAlignment="1">
      <alignment vertical="center" wrapText="1"/>
    </xf>
    <xf numFmtId="0" fontId="0" fillId="0" borderId="10" xfId="0" applyBorder="1" applyAlignment="1">
      <alignment vertical="center" wrapText="1"/>
    </xf>
    <xf numFmtId="0" fontId="0" fillId="0" borderId="10" xfId="0" applyFill="1" applyBorder="1" applyAlignment="1">
      <alignment vertical="center" wrapText="1"/>
    </xf>
    <xf numFmtId="0" fontId="0" fillId="0" borderId="10" xfId="0" applyFill="1" applyBorder="1" applyAlignment="1">
      <alignment horizontal="center" vertical="center" wrapText="1"/>
    </xf>
    <xf numFmtId="0" fontId="0" fillId="0" borderId="10" xfId="0" applyBorder="1">
      <alignment vertical="center"/>
    </xf>
    <xf numFmtId="0" fontId="0" fillId="0" borderId="10" xfId="0" applyFill="1" applyBorder="1" applyAlignment="1">
      <alignment horizontal="center" vertical="center"/>
    </xf>
    <xf numFmtId="176" fontId="0" fillId="0" borderId="10" xfId="0" applyNumberFormat="1" applyBorder="1">
      <alignment vertical="center"/>
    </xf>
    <xf numFmtId="176" fontId="0" fillId="0" borderId="10" xfId="0" applyNumberFormat="1" applyFill="1" applyBorder="1">
      <alignment vertical="center"/>
    </xf>
    <xf numFmtId="0" fontId="0" fillId="0" borderId="10" xfId="0" applyBorder="1" applyAlignment="1">
      <alignment horizontal="center" vertical="center"/>
    </xf>
    <xf numFmtId="0" fontId="4" fillId="0" borderId="0" xfId="0" applyFont="1">
      <alignment vertical="center"/>
    </xf>
    <xf numFmtId="0" fontId="5" fillId="3" borderId="2" xfId="0" applyFont="1" applyFill="1" applyBorder="1" applyAlignment="1">
      <alignment horizontal="center" vertical="center" wrapText="1" readingOrder="1"/>
    </xf>
    <xf numFmtId="0" fontId="5" fillId="3" borderId="3" xfId="0" applyFont="1" applyFill="1" applyBorder="1" applyAlignment="1">
      <alignment horizontal="center" vertical="center" wrapText="1" readingOrder="1"/>
    </xf>
    <xf numFmtId="0" fontId="6" fillId="5" borderId="1" xfId="0" applyFont="1" applyFill="1" applyBorder="1" applyAlignment="1">
      <alignment horizontal="left" vertical="center" wrapText="1" readingOrder="1"/>
    </xf>
    <xf numFmtId="0" fontId="6" fillId="6" borderId="1" xfId="0" applyFont="1" applyFill="1" applyBorder="1" applyAlignment="1">
      <alignment horizontal="center" vertical="center" wrapText="1" readingOrder="1"/>
    </xf>
    <xf numFmtId="0" fontId="7" fillId="0" borderId="1" xfId="0" applyFont="1" applyFill="1" applyBorder="1" applyAlignment="1">
      <alignment horizontal="center" vertical="center" wrapText="1"/>
    </xf>
    <xf numFmtId="0" fontId="6" fillId="0" borderId="1" xfId="0" applyFont="1" applyBorder="1" applyAlignment="1">
      <alignment horizontal="center" vertical="center" wrapText="1" readingOrder="1"/>
    </xf>
    <xf numFmtId="0" fontId="7" fillId="7" borderId="1" xfId="0" applyFont="1" applyFill="1" applyBorder="1" applyAlignment="1">
      <alignment horizontal="center" vertical="center" wrapText="1"/>
    </xf>
    <xf numFmtId="0" fontId="8" fillId="8" borderId="1" xfId="0" applyFont="1" applyFill="1" applyBorder="1" applyAlignment="1">
      <alignment horizontal="center" vertical="center" wrapText="1" readingOrder="1"/>
    </xf>
    <xf numFmtId="0" fontId="0" fillId="0" borderId="10" xfId="0" applyFill="1" applyBorder="1" applyAlignment="1">
      <alignment horizontal="left" vertical="center"/>
    </xf>
    <xf numFmtId="0" fontId="0" fillId="0" borderId="10" xfId="0" applyFill="1" applyBorder="1">
      <alignment vertical="center"/>
    </xf>
    <xf numFmtId="0" fontId="0" fillId="0" borderId="10" xfId="0" applyFill="1" applyBorder="1" applyAlignment="1">
      <alignment horizontal="left" vertical="center" wrapText="1"/>
    </xf>
    <xf numFmtId="0" fontId="0" fillId="8" borderId="10" xfId="0" applyFill="1" applyBorder="1" applyAlignment="1">
      <alignment horizontal="center" vertical="center"/>
    </xf>
    <xf numFmtId="0" fontId="0" fillId="9" borderId="10" xfId="0" applyFill="1" applyBorder="1" applyAlignment="1">
      <alignment horizontal="left" vertical="center"/>
    </xf>
    <xf numFmtId="0" fontId="0" fillId="9" borderId="10" xfId="0" applyFill="1" applyBorder="1">
      <alignment vertical="center"/>
    </xf>
    <xf numFmtId="0" fontId="0" fillId="9" borderId="10" xfId="0" applyFill="1" applyBorder="1" applyAlignment="1">
      <alignment horizontal="center" vertical="center"/>
    </xf>
    <xf numFmtId="38" fontId="0" fillId="0" borderId="0" xfId="1" applyFont="1">
      <alignment vertical="center"/>
    </xf>
    <xf numFmtId="0" fontId="0" fillId="10" borderId="10" xfId="0" applyFill="1" applyBorder="1" applyAlignment="1">
      <alignment vertical="center" wrapText="1"/>
    </xf>
    <xf numFmtId="0" fontId="0" fillId="10" borderId="10" xfId="0" applyFill="1" applyBorder="1" applyAlignment="1">
      <alignment horizontal="center" vertical="center"/>
    </xf>
    <xf numFmtId="0" fontId="0" fillId="10" borderId="10" xfId="0" applyFill="1" applyBorder="1" applyAlignment="1">
      <alignment horizontal="left" vertical="center"/>
    </xf>
    <xf numFmtId="0" fontId="0" fillId="10" borderId="10" xfId="0" applyFill="1" applyBorder="1">
      <alignment vertical="center"/>
    </xf>
    <xf numFmtId="0" fontId="10" fillId="10" borderId="10" xfId="0" applyFont="1" applyFill="1" applyBorder="1">
      <alignment vertical="center"/>
    </xf>
    <xf numFmtId="38" fontId="0" fillId="0" borderId="10" xfId="1" applyFont="1" applyBorder="1">
      <alignment vertical="center"/>
    </xf>
    <xf numFmtId="0" fontId="0" fillId="11" borderId="10" xfId="0" applyFill="1" applyBorder="1" applyAlignment="1">
      <alignment horizontal="center" vertical="center"/>
    </xf>
    <xf numFmtId="0" fontId="0" fillId="11" borderId="0" xfId="0" applyFill="1">
      <alignment vertical="center"/>
    </xf>
    <xf numFmtId="0" fontId="0" fillId="0" borderId="10" xfId="0" applyBorder="1" applyAlignment="1">
      <alignment horizontal="center" vertical="center" wrapText="1"/>
    </xf>
    <xf numFmtId="0" fontId="4" fillId="0" borderId="0" xfId="0" applyFont="1" applyAlignment="1">
      <alignment horizontal="center" vertical="center"/>
    </xf>
    <xf numFmtId="0" fontId="0" fillId="11" borderId="10" xfId="0" applyFill="1" applyBorder="1">
      <alignment vertical="center"/>
    </xf>
    <xf numFmtId="38" fontId="0" fillId="11" borderId="10" xfId="1" applyFont="1" applyFill="1" applyBorder="1">
      <alignment vertical="center"/>
    </xf>
    <xf numFmtId="0" fontId="9" fillId="0" borderId="0" xfId="0" applyFont="1">
      <alignment vertical="center"/>
    </xf>
    <xf numFmtId="9" fontId="0" fillId="0" borderId="0" xfId="2" applyFont="1">
      <alignment vertical="center"/>
    </xf>
    <xf numFmtId="0" fontId="11" fillId="0" borderId="10" xfId="0" applyFont="1" applyFill="1" applyBorder="1" applyAlignment="1">
      <alignment vertical="center"/>
    </xf>
    <xf numFmtId="177" fontId="0" fillId="0" borderId="10" xfId="1" applyNumberFormat="1" applyFont="1" applyFill="1" applyBorder="1" applyAlignment="1">
      <alignment horizontal="center" vertical="center"/>
    </xf>
    <xf numFmtId="177" fontId="0" fillId="0" borderId="10" xfId="1" applyNumberFormat="1" applyFont="1" applyBorder="1" applyAlignment="1">
      <alignment horizontal="center" vertical="center"/>
    </xf>
    <xf numFmtId="177" fontId="0" fillId="11" borderId="10" xfId="1" applyNumberFormat="1" applyFont="1" applyFill="1" applyBorder="1" applyAlignment="1">
      <alignment horizontal="center" vertical="center"/>
    </xf>
    <xf numFmtId="177" fontId="0" fillId="0" borderId="10" xfId="1" applyNumberFormat="1" applyFont="1" applyBorder="1">
      <alignment vertical="center"/>
    </xf>
    <xf numFmtId="177" fontId="0" fillId="11" borderId="10" xfId="1" applyNumberFormat="1" applyFont="1" applyFill="1" applyBorder="1">
      <alignment vertical="center"/>
    </xf>
    <xf numFmtId="176" fontId="0" fillId="0" borderId="10" xfId="2" applyNumberFormat="1" applyFont="1" applyFill="1" applyBorder="1" applyAlignment="1">
      <alignment horizontal="center" vertical="center"/>
    </xf>
    <xf numFmtId="9" fontId="0" fillId="0" borderId="10" xfId="2" applyFont="1" applyBorder="1">
      <alignment vertical="center"/>
    </xf>
    <xf numFmtId="38" fontId="0" fillId="0" borderId="10" xfId="1" applyFont="1" applyFill="1" applyBorder="1">
      <alignment vertical="center"/>
    </xf>
    <xf numFmtId="0" fontId="15" fillId="0" borderId="1" xfId="0" applyFont="1" applyFill="1" applyBorder="1" applyAlignment="1">
      <alignment horizontal="center" vertical="center" wrapText="1" readingOrder="1"/>
    </xf>
    <xf numFmtId="0" fontId="11" fillId="0" borderId="0" xfId="0" applyFont="1" applyFill="1" applyBorder="1" applyAlignment="1">
      <alignment vertical="center"/>
    </xf>
    <xf numFmtId="0" fontId="16" fillId="18" borderId="10" xfId="0" applyFont="1" applyFill="1" applyBorder="1" applyAlignment="1">
      <alignment horizontal="center" vertical="center" wrapText="1"/>
    </xf>
    <xf numFmtId="176" fontId="17" fillId="0" borderId="10" xfId="0" applyNumberFormat="1" applyFont="1" applyBorder="1" applyAlignment="1">
      <alignment horizontal="center" vertical="center" wrapText="1"/>
    </xf>
    <xf numFmtId="178" fontId="14" fillId="15" borderId="21" xfId="3" applyNumberFormat="1" applyFont="1" applyFill="1" applyBorder="1" applyAlignment="1">
      <alignment horizontal="center" vertical="center" shrinkToFit="1"/>
    </xf>
    <xf numFmtId="178" fontId="18" fillId="15" borderId="16" xfId="3" applyNumberFormat="1" applyFont="1" applyFill="1" applyBorder="1" applyAlignment="1">
      <alignment horizontal="center" vertical="center" shrinkToFit="1"/>
    </xf>
    <xf numFmtId="178" fontId="18" fillId="15" borderId="21" xfId="3" applyNumberFormat="1" applyFont="1" applyFill="1" applyBorder="1" applyAlignment="1">
      <alignment horizontal="center" vertical="center" shrinkToFit="1"/>
    </xf>
    <xf numFmtId="178" fontId="18" fillId="15" borderId="22" xfId="3" applyNumberFormat="1" applyFont="1" applyFill="1" applyBorder="1" applyAlignment="1">
      <alignment horizontal="center" vertical="center" shrinkToFit="1"/>
    </xf>
    <xf numFmtId="178" fontId="18" fillId="15" borderId="23" xfId="3" applyNumberFormat="1" applyFont="1" applyFill="1" applyBorder="1" applyAlignment="1">
      <alignment horizontal="center" vertical="center" shrinkToFit="1"/>
    </xf>
    <xf numFmtId="178" fontId="18" fillId="13" borderId="20" xfId="3" applyNumberFormat="1" applyFont="1" applyFill="1" applyBorder="1" applyAlignment="1">
      <alignment horizontal="center" vertical="center" shrinkToFit="1"/>
    </xf>
    <xf numFmtId="178" fontId="18" fillId="14" borderId="19" xfId="3" applyNumberFormat="1" applyFont="1" applyFill="1" applyBorder="1" applyAlignment="1">
      <alignment horizontal="center" vertical="center" shrinkToFit="1"/>
    </xf>
    <xf numFmtId="178" fontId="18" fillId="14" borderId="18" xfId="3" applyNumberFormat="1" applyFont="1" applyFill="1" applyBorder="1" applyAlignment="1">
      <alignment horizontal="center" vertical="center" shrinkToFit="1"/>
    </xf>
    <xf numFmtId="178" fontId="18" fillId="14" borderId="20" xfId="3" applyNumberFormat="1" applyFont="1" applyFill="1" applyBorder="1" applyAlignment="1">
      <alignment horizontal="center" vertical="center" shrinkToFit="1"/>
    </xf>
    <xf numFmtId="178" fontId="18" fillId="16" borderId="18" xfId="3" applyNumberFormat="1" applyFont="1" applyFill="1" applyBorder="1" applyAlignment="1">
      <alignment horizontal="center" vertical="center" shrinkToFit="1"/>
    </xf>
    <xf numFmtId="178" fontId="18" fillId="16" borderId="0" xfId="3" applyNumberFormat="1" applyFont="1" applyFill="1" applyBorder="1" applyAlignment="1">
      <alignment horizontal="center" vertical="center" shrinkToFit="1"/>
    </xf>
    <xf numFmtId="178" fontId="18" fillId="16" borderId="20" xfId="3" applyNumberFormat="1" applyFont="1" applyFill="1" applyBorder="1" applyAlignment="1">
      <alignment horizontal="center" vertical="center" shrinkToFit="1"/>
    </xf>
    <xf numFmtId="178" fontId="18" fillId="13" borderId="17" xfId="3" applyNumberFormat="1" applyFont="1" applyFill="1" applyBorder="1" applyAlignment="1">
      <alignment horizontal="center" vertical="center" shrinkToFit="1"/>
    </xf>
    <xf numFmtId="178" fontId="18" fillId="13" borderId="0" xfId="3" applyNumberFormat="1" applyFont="1" applyFill="1" applyBorder="1" applyAlignment="1">
      <alignment horizontal="center" vertical="center" shrinkToFit="1"/>
    </xf>
    <xf numFmtId="178" fontId="18" fillId="17" borderId="16" xfId="3" applyNumberFormat="1" applyFont="1" applyFill="1" applyBorder="1" applyAlignment="1">
      <alignment horizontal="center" vertical="center" shrinkToFit="1"/>
    </xf>
    <xf numFmtId="178" fontId="18" fillId="17" borderId="0" xfId="3" applyNumberFormat="1" applyFont="1" applyFill="1" applyBorder="1" applyAlignment="1">
      <alignment horizontal="center" vertical="center" shrinkToFit="1"/>
    </xf>
    <xf numFmtId="0" fontId="0" fillId="0" borderId="0" xfId="0" applyAlignment="1">
      <alignment horizontal="left" vertical="center"/>
    </xf>
    <xf numFmtId="0" fontId="0" fillId="14" borderId="0" xfId="0" applyFill="1" applyAlignment="1">
      <alignment horizontal="center" vertical="center"/>
    </xf>
    <xf numFmtId="0" fontId="0" fillId="16" borderId="0" xfId="0" applyFill="1" applyAlignment="1">
      <alignment horizontal="center" vertical="center"/>
    </xf>
    <xf numFmtId="0" fontId="0" fillId="13" borderId="0" xfId="0" applyFill="1" applyAlignment="1">
      <alignment horizontal="center" vertical="center"/>
    </xf>
    <xf numFmtId="0" fontId="0" fillId="17" borderId="0" xfId="0" applyFill="1" applyAlignment="1">
      <alignment horizontal="center" vertical="center"/>
    </xf>
    <xf numFmtId="0" fontId="0" fillId="0" borderId="0" xfId="0" applyFill="1" applyBorder="1" applyAlignment="1">
      <alignment horizontal="right" vertical="center"/>
    </xf>
    <xf numFmtId="0" fontId="0" fillId="15" borderId="13" xfId="0"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78" fontId="14" fillId="0" borderId="13" xfId="3" applyNumberFormat="1" applyFont="1" applyFill="1" applyBorder="1" applyAlignment="1">
      <alignment horizontal="center" vertical="center" shrinkToFit="1"/>
    </xf>
    <xf numFmtId="178" fontId="14" fillId="17" borderId="14" xfId="3" applyNumberFormat="1" applyFont="1" applyFill="1" applyBorder="1" applyAlignment="1">
      <alignment horizontal="center" vertical="center" shrinkToFit="1"/>
    </xf>
    <xf numFmtId="178" fontId="14" fillId="13" borderId="14" xfId="3" applyNumberFormat="1" applyFont="1" applyFill="1" applyBorder="1" applyAlignment="1">
      <alignment horizontal="center" vertical="center" shrinkToFit="1"/>
    </xf>
    <xf numFmtId="178" fontId="14" fillId="16" borderId="14" xfId="3" applyNumberFormat="1" applyFont="1" applyFill="1" applyBorder="1" applyAlignment="1">
      <alignment horizontal="center" vertical="center" shrinkToFit="1"/>
    </xf>
    <xf numFmtId="178" fontId="14" fillId="14" borderId="15" xfId="3" applyNumberFormat="1" applyFont="1" applyFill="1" applyBorder="1" applyAlignment="1">
      <alignment horizontal="center" vertical="center" shrinkToFit="1"/>
    </xf>
    <xf numFmtId="0" fontId="19" fillId="18" borderId="10" xfId="0" applyFont="1" applyFill="1" applyBorder="1">
      <alignment vertical="center"/>
    </xf>
    <xf numFmtId="0" fontId="20" fillId="18" borderId="10" xfId="0" applyFont="1" applyFill="1" applyBorder="1">
      <alignment vertical="center"/>
    </xf>
    <xf numFmtId="0" fontId="0" fillId="0" borderId="11" xfId="0" applyBorder="1">
      <alignment vertical="center"/>
    </xf>
    <xf numFmtId="178" fontId="14" fillId="14" borderId="19" xfId="3" applyNumberFormat="1" applyFont="1" applyFill="1" applyBorder="1" applyAlignment="1">
      <alignment horizontal="center" vertical="center" shrinkToFit="1"/>
    </xf>
    <xf numFmtId="178" fontId="14" fillId="14" borderId="23" xfId="3" applyNumberFormat="1" applyFont="1" applyFill="1" applyBorder="1" applyAlignment="1">
      <alignment horizontal="center" vertical="center" shrinkToFit="1"/>
    </xf>
    <xf numFmtId="178" fontId="14" fillId="16" borderId="18" xfId="3" applyNumberFormat="1" applyFont="1" applyFill="1" applyBorder="1" applyAlignment="1">
      <alignment horizontal="center" vertical="center" shrinkToFit="1"/>
    </xf>
    <xf numFmtId="178" fontId="14" fillId="16" borderId="22" xfId="3" applyNumberFormat="1" applyFont="1" applyFill="1" applyBorder="1" applyAlignment="1">
      <alignment horizontal="center" vertical="center" shrinkToFit="1"/>
    </xf>
    <xf numFmtId="178" fontId="14" fillId="13" borderId="17" xfId="3" applyNumberFormat="1" applyFont="1" applyFill="1" applyBorder="1" applyAlignment="1">
      <alignment horizontal="center" vertical="center" shrinkToFit="1"/>
    </xf>
    <xf numFmtId="178" fontId="14" fillId="14" borderId="18" xfId="3" applyNumberFormat="1" applyFont="1" applyFill="1" applyBorder="1" applyAlignment="1">
      <alignment horizontal="center" vertical="center" shrinkToFit="1"/>
    </xf>
    <xf numFmtId="178" fontId="14" fillId="13" borderId="22" xfId="3" applyNumberFormat="1" applyFont="1" applyFill="1" applyBorder="1" applyAlignment="1">
      <alignment horizontal="center" vertical="center" shrinkToFit="1"/>
    </xf>
    <xf numFmtId="0" fontId="0" fillId="0" borderId="12" xfId="0" applyBorder="1">
      <alignment vertical="center"/>
    </xf>
    <xf numFmtId="0" fontId="0" fillId="0" borderId="24" xfId="0" applyBorder="1">
      <alignment vertical="center"/>
    </xf>
    <xf numFmtId="178" fontId="14" fillId="17" borderId="25" xfId="3" applyNumberFormat="1" applyFont="1" applyFill="1" applyBorder="1" applyAlignment="1">
      <alignment horizontal="center" vertical="center" shrinkToFit="1"/>
    </xf>
    <xf numFmtId="178" fontId="14" fillId="13" borderId="26" xfId="3" applyNumberFormat="1" applyFont="1" applyFill="1" applyBorder="1" applyAlignment="1">
      <alignment horizontal="center" vertical="center" shrinkToFit="1"/>
    </xf>
    <xf numFmtId="178" fontId="14" fillId="16" borderId="26" xfId="3" applyNumberFormat="1" applyFont="1" applyFill="1" applyBorder="1" applyAlignment="1">
      <alignment horizontal="center" vertical="center" shrinkToFit="1"/>
    </xf>
    <xf numFmtId="178" fontId="14" fillId="14" borderId="27" xfId="3" applyNumberFormat="1" applyFont="1" applyFill="1" applyBorder="1" applyAlignment="1">
      <alignment horizontal="center" vertical="center" shrinkToFit="1"/>
    </xf>
    <xf numFmtId="0" fontId="0" fillId="15" borderId="0" xfId="0" applyFill="1">
      <alignment vertical="center"/>
    </xf>
    <xf numFmtId="0" fontId="19" fillId="18" borderId="11" xfId="0" applyFont="1" applyFill="1" applyBorder="1">
      <alignment vertical="center"/>
    </xf>
    <xf numFmtId="0" fontId="20" fillId="18" borderId="12" xfId="0" applyFont="1" applyFill="1" applyBorder="1">
      <alignment vertical="center"/>
    </xf>
    <xf numFmtId="0" fontId="21" fillId="0" borderId="0" xfId="0" applyFont="1">
      <alignment vertical="center"/>
    </xf>
    <xf numFmtId="0" fontId="22" fillId="0" borderId="0" xfId="0" applyFont="1" applyAlignment="1">
      <alignment horizontal="center" vertical="center"/>
    </xf>
    <xf numFmtId="0" fontId="22" fillId="0" borderId="0" xfId="0" applyFont="1">
      <alignment vertical="center"/>
    </xf>
    <xf numFmtId="0" fontId="21" fillId="0" borderId="0" xfId="0" applyFont="1" applyAlignment="1">
      <alignment horizontal="center" vertical="center"/>
    </xf>
    <xf numFmtId="0" fontId="21" fillId="0" borderId="0" xfId="0" applyFont="1" applyAlignment="1">
      <alignment vertical="center"/>
    </xf>
    <xf numFmtId="0" fontId="21" fillId="14" borderId="0" xfId="0" applyFont="1" applyFill="1">
      <alignment vertical="center"/>
    </xf>
    <xf numFmtId="0" fontId="21" fillId="13" borderId="0" xfId="0" applyFont="1" applyFill="1">
      <alignment vertical="center"/>
    </xf>
    <xf numFmtId="0" fontId="21" fillId="16" borderId="0" xfId="0" applyFont="1" applyFill="1">
      <alignment vertical="center"/>
    </xf>
    <xf numFmtId="0" fontId="21" fillId="19" borderId="0" xfId="0" applyFont="1" applyFill="1">
      <alignment vertical="center"/>
    </xf>
    <xf numFmtId="56" fontId="21" fillId="0" borderId="0" xfId="0" applyNumberFormat="1" applyFont="1">
      <alignment vertical="center"/>
    </xf>
    <xf numFmtId="0" fontId="21" fillId="0" borderId="0" xfId="0" applyFont="1" applyFill="1">
      <alignment vertical="center"/>
    </xf>
    <xf numFmtId="0" fontId="21" fillId="21" borderId="0" xfId="0" applyFont="1" applyFill="1">
      <alignment vertical="center"/>
    </xf>
    <xf numFmtId="9" fontId="21" fillId="0" borderId="0" xfId="0" applyNumberFormat="1" applyFont="1">
      <alignment vertical="center"/>
    </xf>
    <xf numFmtId="176" fontId="23" fillId="0" borderId="0" xfId="2" applyNumberFormat="1" applyFont="1" applyAlignment="1">
      <alignment horizontal="center" vertical="center"/>
    </xf>
    <xf numFmtId="178" fontId="24" fillId="0" borderId="0" xfId="3" applyNumberFormat="1" applyFont="1" applyFill="1" applyBorder="1" applyAlignment="1">
      <alignment horizontal="center" vertical="center" shrinkToFit="1"/>
    </xf>
    <xf numFmtId="178" fontId="24" fillId="17" borderId="0" xfId="3" applyNumberFormat="1" applyFont="1" applyFill="1" applyBorder="1" applyAlignment="1">
      <alignment horizontal="center" vertical="center" shrinkToFit="1"/>
    </xf>
    <xf numFmtId="178" fontId="24" fillId="13" borderId="0" xfId="3" applyNumberFormat="1" applyFont="1" applyFill="1" applyBorder="1" applyAlignment="1">
      <alignment horizontal="center" vertical="center" shrinkToFit="1"/>
    </xf>
    <xf numFmtId="0" fontId="21" fillId="17" borderId="0" xfId="0" applyFont="1" applyFill="1">
      <alignment vertical="center"/>
    </xf>
    <xf numFmtId="178" fontId="24" fillId="16" borderId="0" xfId="3" applyNumberFormat="1" applyFont="1" applyFill="1" applyBorder="1" applyAlignment="1">
      <alignment horizontal="center" vertical="center" shrinkToFit="1"/>
    </xf>
    <xf numFmtId="178" fontId="24" fillId="14" borderId="0" xfId="3" applyNumberFormat="1" applyFont="1" applyFill="1" applyBorder="1" applyAlignment="1">
      <alignment horizontal="center" vertical="center" shrinkToFit="1"/>
    </xf>
    <xf numFmtId="176" fontId="21" fillId="0" borderId="0" xfId="2" applyNumberFormat="1" applyFont="1" applyAlignment="1">
      <alignment horizontal="center" vertical="center"/>
    </xf>
    <xf numFmtId="0" fontId="23" fillId="0" borderId="0" xfId="2" applyNumberFormat="1" applyFont="1" applyAlignment="1">
      <alignment horizontal="center" vertical="center"/>
    </xf>
    <xf numFmtId="0" fontId="25" fillId="0" borderId="0" xfId="0" applyFont="1">
      <alignment vertical="center"/>
    </xf>
    <xf numFmtId="0" fontId="21" fillId="0" borderId="0" xfId="2" applyNumberFormat="1" applyFont="1" applyAlignment="1">
      <alignment horizontal="center" vertical="center"/>
    </xf>
    <xf numFmtId="0" fontId="21" fillId="0" borderId="0" xfId="0" applyFont="1" applyAlignment="1">
      <alignment horizontal="right" vertical="center"/>
    </xf>
    <xf numFmtId="178" fontId="26" fillId="0" borderId="0" xfId="3" applyNumberFormat="1" applyFont="1" applyFill="1" applyBorder="1" applyAlignment="1">
      <alignment horizontal="center" vertical="center" shrinkToFit="1"/>
    </xf>
    <xf numFmtId="178" fontId="26" fillId="17" borderId="0" xfId="3" applyNumberFormat="1" applyFont="1" applyFill="1" applyBorder="1" applyAlignment="1">
      <alignment horizontal="center" vertical="center" shrinkToFit="1"/>
    </xf>
    <xf numFmtId="178" fontId="26" fillId="13" borderId="0" xfId="3" applyNumberFormat="1" applyFont="1" applyFill="1" applyBorder="1" applyAlignment="1">
      <alignment horizontal="center" vertical="center" shrinkToFit="1"/>
    </xf>
    <xf numFmtId="178" fontId="26" fillId="14" borderId="0" xfId="3" applyNumberFormat="1" applyFont="1" applyFill="1" applyBorder="1" applyAlignment="1">
      <alignment horizontal="center" vertical="center" shrinkToFit="1"/>
    </xf>
    <xf numFmtId="56" fontId="21" fillId="21" borderId="0" xfId="0" applyNumberFormat="1" applyFont="1" applyFill="1">
      <alignment vertical="center"/>
    </xf>
    <xf numFmtId="0" fontId="21" fillId="21" borderId="0" xfId="0" applyFont="1" applyFill="1" applyAlignment="1">
      <alignment horizontal="right" vertical="center"/>
    </xf>
    <xf numFmtId="0" fontId="21" fillId="21" borderId="0" xfId="0" applyFont="1" applyFill="1" applyAlignment="1">
      <alignment horizontal="center" vertical="center"/>
    </xf>
    <xf numFmtId="178" fontId="26" fillId="21" borderId="0" xfId="3" applyNumberFormat="1" applyFont="1" applyFill="1" applyBorder="1" applyAlignment="1">
      <alignment horizontal="center" vertical="center" shrinkToFit="1"/>
    </xf>
    <xf numFmtId="178" fontId="24" fillId="21" borderId="0" xfId="3" applyNumberFormat="1" applyFont="1" applyFill="1" applyBorder="1" applyAlignment="1">
      <alignment horizontal="center" vertical="center" shrinkToFit="1"/>
    </xf>
    <xf numFmtId="0" fontId="25" fillId="21" borderId="0" xfId="0" applyFont="1" applyFill="1">
      <alignment vertical="center"/>
    </xf>
    <xf numFmtId="178" fontId="26" fillId="16" borderId="0" xfId="3" applyNumberFormat="1" applyFont="1" applyFill="1" applyBorder="1" applyAlignment="1">
      <alignment horizontal="center" vertical="center" shrinkToFit="1"/>
    </xf>
    <xf numFmtId="0" fontId="21" fillId="20" borderId="0" xfId="0" applyFont="1" applyFill="1">
      <alignment vertical="center"/>
    </xf>
    <xf numFmtId="9" fontId="21" fillId="0" borderId="0" xfId="0" applyNumberFormat="1" applyFont="1" applyFill="1">
      <alignment vertical="center"/>
    </xf>
    <xf numFmtId="0" fontId="0" fillId="22" borderId="10" xfId="0" applyFill="1" applyBorder="1" applyAlignment="1">
      <alignment horizontal="center" vertical="center"/>
    </xf>
    <xf numFmtId="0" fontId="27" fillId="0" borderId="10" xfId="0" applyFont="1" applyFill="1" applyBorder="1" applyAlignment="1">
      <alignment horizontal="left" vertical="center" wrapText="1"/>
    </xf>
    <xf numFmtId="0" fontId="0" fillId="23" borderId="10" xfId="0" applyFill="1" applyBorder="1" applyAlignment="1">
      <alignment horizontal="center" vertical="center"/>
    </xf>
    <xf numFmtId="0" fontId="0" fillId="24" borderId="10" xfId="0" applyFill="1" applyBorder="1" applyAlignment="1">
      <alignment vertical="center" wrapText="1"/>
    </xf>
    <xf numFmtId="0" fontId="0" fillId="24" borderId="10" xfId="0" applyFill="1" applyBorder="1" applyAlignment="1">
      <alignment horizontal="center" vertical="center"/>
    </xf>
    <xf numFmtId="0" fontId="0" fillId="13" borderId="10" xfId="0" applyFill="1" applyBorder="1">
      <alignment vertical="center"/>
    </xf>
    <xf numFmtId="0" fontId="21" fillId="0" borderId="0" xfId="0" applyFont="1" applyBorder="1">
      <alignment vertical="center"/>
    </xf>
    <xf numFmtId="0" fontId="21" fillId="0" borderId="0" xfId="0" applyFont="1" applyFill="1" applyBorder="1">
      <alignment vertical="center"/>
    </xf>
    <xf numFmtId="0" fontId="22" fillId="0" borderId="0" xfId="0" applyFont="1" applyBorder="1">
      <alignment vertical="center"/>
    </xf>
    <xf numFmtId="0" fontId="21" fillId="0" borderId="0" xfId="0" applyFont="1" applyBorder="1" applyAlignment="1">
      <alignment horizontal="center" vertical="center"/>
    </xf>
    <xf numFmtId="0" fontId="21" fillId="0" borderId="0" xfId="0" applyFont="1" applyBorder="1" applyAlignment="1"/>
    <xf numFmtId="0" fontId="21" fillId="20" borderId="0" xfId="0" applyFont="1" applyFill="1" applyBorder="1">
      <alignment vertical="center"/>
    </xf>
    <xf numFmtId="0" fontId="21" fillId="21" borderId="0" xfId="0" applyFont="1" applyFill="1" applyBorder="1">
      <alignment vertical="center"/>
    </xf>
    <xf numFmtId="0" fontId="21" fillId="13" borderId="0" xfId="0" applyFont="1" applyFill="1" applyBorder="1">
      <alignment vertical="center"/>
    </xf>
    <xf numFmtId="0" fontId="21" fillId="0" borderId="0" xfId="0" applyFont="1" applyBorder="1" applyAlignment="1">
      <alignment horizontal="right" vertical="center"/>
    </xf>
    <xf numFmtId="0" fontId="25" fillId="0" borderId="0" xfId="0" applyFont="1" applyBorder="1">
      <alignment vertical="center"/>
    </xf>
    <xf numFmtId="0" fontId="21" fillId="17" borderId="0" xfId="0" applyFont="1" applyFill="1" applyBorder="1">
      <alignment vertical="center"/>
    </xf>
    <xf numFmtId="0" fontId="21" fillId="16" borderId="0" xfId="0" applyFont="1" applyFill="1" applyBorder="1">
      <alignment vertical="center"/>
    </xf>
    <xf numFmtId="9" fontId="21" fillId="0" borderId="0" xfId="0" applyNumberFormat="1" applyFont="1" applyBorder="1">
      <alignment vertical="center"/>
    </xf>
    <xf numFmtId="0" fontId="21" fillId="14" borderId="0" xfId="0" applyFont="1" applyFill="1" applyBorder="1">
      <alignment vertical="center"/>
    </xf>
    <xf numFmtId="0" fontId="21" fillId="0" borderId="0" xfId="0" applyNumberFormat="1" applyFont="1" applyBorder="1">
      <alignment vertical="center"/>
    </xf>
    <xf numFmtId="0" fontId="21" fillId="0" borderId="28" xfId="0" applyFont="1" applyBorder="1">
      <alignment vertical="center"/>
    </xf>
    <xf numFmtId="0" fontId="21" fillId="0" borderId="28" xfId="0" applyFont="1" applyFill="1" applyBorder="1">
      <alignment vertical="center"/>
    </xf>
    <xf numFmtId="0" fontId="21" fillId="0" borderId="28" xfId="0" applyFont="1" applyBorder="1" applyAlignment="1">
      <alignment horizontal="center" vertical="center"/>
    </xf>
    <xf numFmtId="0" fontId="22" fillId="0" borderId="28" xfId="0" applyFont="1" applyBorder="1">
      <alignment vertical="center"/>
    </xf>
    <xf numFmtId="0" fontId="21" fillId="0" borderId="29" xfId="0" applyFont="1" applyBorder="1">
      <alignment vertical="center"/>
    </xf>
    <xf numFmtId="0" fontId="21" fillId="0" borderId="30" xfId="0" applyFont="1" applyBorder="1">
      <alignment vertical="center"/>
    </xf>
    <xf numFmtId="0" fontId="21" fillId="0" borderId="31" xfId="0" applyFont="1" applyBorder="1">
      <alignment vertical="center"/>
    </xf>
    <xf numFmtId="0" fontId="21" fillId="21" borderId="31" xfId="0" applyFont="1" applyFill="1" applyBorder="1">
      <alignment vertical="center"/>
    </xf>
    <xf numFmtId="9" fontId="21" fillId="0" borderId="31" xfId="0" applyNumberFormat="1" applyFont="1" applyBorder="1">
      <alignment vertical="center"/>
    </xf>
    <xf numFmtId="0" fontId="21" fillId="0" borderId="31" xfId="0" applyFont="1" applyBorder="1" applyAlignment="1">
      <alignment horizontal="center" vertical="center"/>
    </xf>
    <xf numFmtId="0" fontId="21" fillId="0" borderId="31" xfId="0" applyFont="1" applyBorder="1" applyAlignment="1">
      <alignment horizontal="right" vertical="center"/>
    </xf>
    <xf numFmtId="178" fontId="26" fillId="0" borderId="31" xfId="3" applyNumberFormat="1" applyFont="1" applyFill="1" applyBorder="1" applyAlignment="1">
      <alignment horizontal="center" vertical="center" shrinkToFit="1"/>
    </xf>
    <xf numFmtId="0" fontId="22" fillId="0" borderId="31" xfId="0" applyFont="1" applyBorder="1">
      <alignment vertical="center"/>
    </xf>
    <xf numFmtId="0" fontId="21" fillId="0" borderId="32" xfId="0" applyFont="1" applyBorder="1">
      <alignment vertical="center"/>
    </xf>
    <xf numFmtId="9" fontId="0" fillId="13" borderId="10" xfId="2" applyFont="1" applyFill="1" applyBorder="1">
      <alignment vertical="center"/>
    </xf>
    <xf numFmtId="176" fontId="0" fillId="13" borderId="10" xfId="2" applyNumberFormat="1" applyFont="1" applyFill="1" applyBorder="1" applyAlignment="1">
      <alignment horizontal="center" vertical="center"/>
    </xf>
    <xf numFmtId="0" fontId="0" fillId="8" borderId="10" xfId="0" applyFill="1" applyBorder="1" applyAlignment="1">
      <alignment horizontal="left" vertical="center"/>
    </xf>
    <xf numFmtId="0" fontId="0" fillId="8" borderId="10" xfId="0" applyFill="1" applyBorder="1" applyAlignment="1">
      <alignment horizontal="right" vertical="center"/>
    </xf>
    <xf numFmtId="0" fontId="0" fillId="8" borderId="10" xfId="0" applyFill="1" applyBorder="1">
      <alignment vertical="center"/>
    </xf>
    <xf numFmtId="0" fontId="0" fillId="0" borderId="0" xfId="0" applyFill="1" applyBorder="1" applyAlignment="1">
      <alignment vertical="center" wrapText="1"/>
    </xf>
    <xf numFmtId="0" fontId="0" fillId="0" borderId="0" xfId="0" applyFill="1" applyBorder="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16" xfId="0" applyFill="1" applyBorder="1">
      <alignment vertical="center"/>
    </xf>
    <xf numFmtId="0" fontId="0" fillId="13" borderId="10" xfId="0" applyFill="1" applyBorder="1" applyAlignment="1">
      <alignment horizontal="center" vertical="center"/>
    </xf>
    <xf numFmtId="176" fontId="0" fillId="13" borderId="10" xfId="0" applyNumberFormat="1" applyFill="1" applyBorder="1">
      <alignment vertical="center"/>
    </xf>
    <xf numFmtId="0" fontId="0" fillId="0" borderId="16" xfId="0" applyFill="1" applyBorder="1" applyAlignment="1">
      <alignment vertical="center" wrapText="1"/>
    </xf>
    <xf numFmtId="0" fontId="27" fillId="8" borderId="10" xfId="0" applyFont="1" applyFill="1" applyBorder="1" applyAlignment="1">
      <alignment horizontal="left" vertical="center" wrapText="1"/>
    </xf>
    <xf numFmtId="0" fontId="27" fillId="0" borderId="10" xfId="0" applyFont="1" applyFill="1" applyBorder="1" applyAlignment="1">
      <alignment horizontal="center" vertical="center" wrapText="1"/>
    </xf>
    <xf numFmtId="0" fontId="27" fillId="10" borderId="10" xfId="0" applyFont="1" applyFill="1" applyBorder="1" applyAlignment="1">
      <alignment horizontal="left" vertical="center" wrapText="1"/>
    </xf>
    <xf numFmtId="0" fontId="27" fillId="0" borderId="0" xfId="0" applyFont="1" applyFill="1" applyBorder="1" applyAlignment="1">
      <alignment horizontal="left" vertical="center" wrapText="1"/>
    </xf>
    <xf numFmtId="0" fontId="27" fillId="9" borderId="10" xfId="0" applyFont="1" applyFill="1" applyBorder="1" applyAlignment="1">
      <alignment horizontal="left" vertical="center" wrapText="1"/>
    </xf>
    <xf numFmtId="177" fontId="0" fillId="0" borderId="10" xfId="1" applyNumberFormat="1" applyFont="1" applyFill="1" applyBorder="1">
      <alignment vertical="center"/>
    </xf>
    <xf numFmtId="0" fontId="0" fillId="0" borderId="16" xfId="0" applyBorder="1">
      <alignment vertical="center"/>
    </xf>
    <xf numFmtId="0" fontId="0" fillId="0" borderId="0" xfId="0" applyFill="1" applyBorder="1" applyAlignment="1">
      <alignment horizontal="center" vertical="center" wrapText="1"/>
    </xf>
    <xf numFmtId="0" fontId="0" fillId="0" borderId="10" xfId="0" applyFont="1" applyFill="1" applyBorder="1" applyAlignment="1">
      <alignment vertical="center" wrapText="1"/>
    </xf>
    <xf numFmtId="0" fontId="27" fillId="10" borderId="10" xfId="0" applyFont="1" applyFill="1" applyBorder="1" applyAlignment="1">
      <alignment horizontal="center" vertical="center"/>
    </xf>
    <xf numFmtId="0" fontId="27" fillId="8" borderId="10" xfId="0" applyFont="1" applyFill="1" applyBorder="1">
      <alignment vertical="center"/>
    </xf>
    <xf numFmtId="0" fontId="27" fillId="0" borderId="10" xfId="0" applyFont="1" applyFill="1" applyBorder="1">
      <alignment vertical="center"/>
    </xf>
    <xf numFmtId="0" fontId="27" fillId="9" borderId="10" xfId="0" applyFont="1" applyFill="1" applyBorder="1">
      <alignment vertical="center"/>
    </xf>
    <xf numFmtId="0" fontId="27" fillId="0" borderId="0" xfId="0" applyFont="1" applyFill="1" applyBorder="1">
      <alignment vertical="center"/>
    </xf>
    <xf numFmtId="0" fontId="0" fillId="25" borderId="10" xfId="0" applyFill="1" applyBorder="1" applyAlignment="1">
      <alignment horizontal="center" vertical="center"/>
    </xf>
    <xf numFmtId="9" fontId="21" fillId="0" borderId="0" xfId="0" applyNumberFormat="1" applyFont="1" applyBorder="1" applyAlignment="1">
      <alignment horizontal="left" vertical="center"/>
    </xf>
    <xf numFmtId="9" fontId="21" fillId="0" borderId="0" xfId="0" applyNumberFormat="1" applyFont="1" applyBorder="1" applyAlignment="1">
      <alignment horizontal="left"/>
    </xf>
    <xf numFmtId="0" fontId="22" fillId="0" borderId="0" xfId="0" applyFont="1" applyBorder="1" applyAlignment="1"/>
    <xf numFmtId="0" fontId="22" fillId="0" borderId="0" xfId="0" applyFont="1" applyBorder="1" applyAlignment="1">
      <alignment horizontal="center" vertical="center"/>
    </xf>
    <xf numFmtId="178" fontId="28" fillId="0" borderId="0" xfId="3" applyNumberFormat="1" applyFont="1" applyFill="1" applyBorder="1" applyAlignment="1">
      <alignment horizontal="center" vertical="center" shrinkToFit="1"/>
    </xf>
    <xf numFmtId="0" fontId="21" fillId="0" borderId="31" xfId="0" applyFont="1" applyFill="1" applyBorder="1">
      <alignment vertical="center"/>
    </xf>
    <xf numFmtId="0" fontId="0" fillId="0" borderId="10" xfId="0" applyFill="1" applyBorder="1" applyAlignment="1">
      <alignment horizontal="right" vertical="center"/>
    </xf>
    <xf numFmtId="38" fontId="0" fillId="0" borderId="10" xfId="1" applyFont="1" applyFill="1" applyBorder="1" applyAlignment="1">
      <alignment horizontal="right" vertical="center"/>
    </xf>
    <xf numFmtId="0" fontId="29" fillId="0" borderId="0" xfId="4" applyFont="1">
      <alignment vertical="center"/>
    </xf>
    <xf numFmtId="0" fontId="31" fillId="26" borderId="35" xfId="4" applyFont="1" applyFill="1" applyBorder="1" applyAlignment="1">
      <alignment horizontal="center" vertical="center" wrapText="1"/>
    </xf>
    <xf numFmtId="0" fontId="32" fillId="26" borderId="35" xfId="4" applyFont="1" applyFill="1" applyBorder="1" applyAlignment="1">
      <alignment horizontal="center" vertical="center" wrapText="1"/>
    </xf>
    <xf numFmtId="179" fontId="31" fillId="0" borderId="35" xfId="4" applyNumberFormat="1" applyFont="1" applyBorder="1" applyAlignment="1">
      <alignment horizontal="center" vertical="center" wrapText="1"/>
    </xf>
    <xf numFmtId="0" fontId="31" fillId="26" borderId="33" xfId="4" applyFont="1" applyFill="1" applyBorder="1" applyAlignment="1">
      <alignment horizontal="center" vertical="center" wrapText="1"/>
    </xf>
    <xf numFmtId="0" fontId="31" fillId="26" borderId="36" xfId="4" applyFont="1" applyFill="1" applyBorder="1" applyAlignment="1">
      <alignment horizontal="center" vertical="center" wrapText="1"/>
    </xf>
    <xf numFmtId="0" fontId="31" fillId="26" borderId="34" xfId="4" applyFont="1" applyFill="1" applyBorder="1" applyAlignment="1">
      <alignment horizontal="center" vertical="center" wrapText="1"/>
    </xf>
    <xf numFmtId="179" fontId="31" fillId="0" borderId="33" xfId="4" applyNumberFormat="1" applyFont="1" applyBorder="1" applyAlignment="1">
      <alignment horizontal="center" vertical="center" wrapText="1"/>
    </xf>
    <xf numFmtId="179" fontId="31" fillId="0" borderId="36" xfId="4" applyNumberFormat="1" applyFont="1" applyBorder="1" applyAlignment="1">
      <alignment horizontal="center" vertical="center" wrapText="1"/>
    </xf>
    <xf numFmtId="179" fontId="31" fillId="0" borderId="34" xfId="4" applyNumberFormat="1" applyFont="1" applyBorder="1" applyAlignment="1">
      <alignment horizontal="center" vertical="center" wrapText="1"/>
    </xf>
    <xf numFmtId="0" fontId="0" fillId="8" borderId="13" xfId="0" applyFill="1" applyBorder="1" applyAlignment="1">
      <alignment horizontal="center" vertical="center"/>
    </xf>
    <xf numFmtId="0" fontId="0" fillId="8" borderId="15" xfId="0" applyFill="1" applyBorder="1" applyAlignment="1">
      <alignment horizontal="center" vertical="center"/>
    </xf>
    <xf numFmtId="0" fontId="0" fillId="12" borderId="10" xfId="0" applyFill="1" applyBorder="1" applyAlignment="1">
      <alignment horizontal="center" vertical="center" wrapText="1"/>
    </xf>
    <xf numFmtId="0" fontId="5" fillId="2" borderId="4" xfId="0" applyFont="1" applyFill="1" applyBorder="1" applyAlignment="1">
      <alignment horizontal="center" vertical="center" wrapText="1" readingOrder="1"/>
    </xf>
    <xf numFmtId="0" fontId="5" fillId="2" borderId="5" xfId="0" applyFont="1" applyFill="1" applyBorder="1" applyAlignment="1">
      <alignment horizontal="center" vertical="center" wrapText="1" readingOrder="1"/>
    </xf>
    <xf numFmtId="0" fontId="5" fillId="2" borderId="6" xfId="0" applyFont="1" applyFill="1" applyBorder="1" applyAlignment="1">
      <alignment horizontal="center" vertical="center" wrapText="1" readingOrder="1"/>
    </xf>
    <xf numFmtId="0" fontId="5" fillId="4" borderId="4" xfId="0" applyFont="1" applyFill="1" applyBorder="1" applyAlignment="1">
      <alignment horizontal="center" vertical="center" wrapText="1" readingOrder="1"/>
    </xf>
    <xf numFmtId="0" fontId="5" fillId="4" borderId="5" xfId="0" applyFont="1" applyFill="1" applyBorder="1" applyAlignment="1">
      <alignment horizontal="center" vertical="center" wrapText="1" readingOrder="1"/>
    </xf>
    <xf numFmtId="0" fontId="5" fillId="4" borderId="6" xfId="0" applyFont="1" applyFill="1" applyBorder="1" applyAlignment="1">
      <alignment horizontal="center" vertical="center" wrapText="1" readingOrder="1"/>
    </xf>
    <xf numFmtId="0" fontId="5" fillId="2" borderId="7" xfId="0" applyFont="1" applyFill="1" applyBorder="1" applyAlignment="1">
      <alignment horizontal="center" vertical="center" wrapText="1" readingOrder="1"/>
    </xf>
    <xf numFmtId="0" fontId="5" fillId="2" borderId="8" xfId="0" applyFont="1" applyFill="1" applyBorder="1" applyAlignment="1">
      <alignment horizontal="center" vertical="center" wrapText="1" readingOrder="1"/>
    </xf>
    <xf numFmtId="0" fontId="5" fillId="2" borderId="9" xfId="0" applyFont="1" applyFill="1" applyBorder="1" applyAlignment="1">
      <alignment horizontal="center" vertical="center" wrapText="1" readingOrder="1"/>
    </xf>
    <xf numFmtId="0" fontId="5" fillId="4" borderId="7" xfId="0" applyFont="1" applyFill="1" applyBorder="1" applyAlignment="1">
      <alignment horizontal="center" vertical="center" wrapText="1" readingOrder="1"/>
    </xf>
    <xf numFmtId="0" fontId="5" fillId="4" borderId="8" xfId="0" applyFont="1" applyFill="1" applyBorder="1" applyAlignment="1">
      <alignment horizontal="center" vertical="center" wrapText="1" readingOrder="1"/>
    </xf>
    <xf numFmtId="0" fontId="5" fillId="4" borderId="9" xfId="0" applyFont="1" applyFill="1" applyBorder="1" applyAlignment="1">
      <alignment horizontal="center" vertical="center" wrapText="1" readingOrder="1"/>
    </xf>
  </cellXfs>
  <cellStyles count="5">
    <cellStyle name="パーセント" xfId="2" builtinId="5"/>
    <cellStyle name="桁区切り" xfId="1" builtinId="6"/>
    <cellStyle name="標準" xfId="0" builtinId="0"/>
    <cellStyle name="標準 2" xfId="4" xr:uid="{BF382643-B70A-4795-BAD6-085D423E4788}"/>
    <cellStyle name="標準_20070525_調査に必要な資料リスト【確定】" xfId="3" xr:uid="{00000000-0005-0000-0000-000003000000}"/>
  </cellStyles>
  <dxfs count="11">
    <dxf>
      <fill>
        <patternFill>
          <bgColor rgb="FF59DEC4"/>
        </patternFill>
      </fill>
    </dxf>
    <dxf>
      <fill>
        <patternFill>
          <bgColor rgb="FF59DEC4"/>
        </patternFill>
      </fill>
    </dxf>
    <dxf>
      <fill>
        <patternFill>
          <bgColor rgb="FF59DEC4"/>
        </patternFill>
      </fill>
    </dxf>
    <dxf>
      <fill>
        <patternFill>
          <bgColor rgb="FF59DEC4"/>
        </patternFill>
      </fill>
    </dxf>
    <dxf>
      <fill>
        <patternFill>
          <bgColor rgb="FF59DEC4"/>
        </patternFill>
      </fill>
    </dxf>
    <dxf>
      <fill>
        <patternFill>
          <bgColor rgb="FF59DEC4"/>
        </patternFill>
      </fill>
    </dxf>
    <dxf>
      <fill>
        <patternFill>
          <bgColor rgb="FF59DEC4"/>
        </patternFill>
      </fill>
    </dxf>
    <dxf>
      <fill>
        <patternFill>
          <bgColor rgb="FF59DEC4"/>
        </patternFill>
      </fill>
    </dxf>
    <dxf>
      <fill>
        <patternFill>
          <bgColor theme="0" tint="-0.34998626667073579"/>
        </patternFill>
      </fill>
    </dxf>
    <dxf>
      <fill>
        <patternFill>
          <bgColor theme="0" tint="-0.34998626667073579"/>
        </patternFill>
      </fill>
    </dxf>
    <dxf>
      <font>
        <b/>
        <i val="0"/>
        <color rgb="FFFF0000"/>
      </font>
      <fill>
        <patternFill>
          <bgColor rgb="FFF4CECB"/>
        </patternFill>
      </fill>
    </dxf>
  </dxfs>
  <tableStyles count="0" defaultTableStyle="TableStyleMedium2" defaultPivotStyle="PivotStyleLight16"/>
  <colors>
    <mruColors>
      <color rgb="FFFFFF00"/>
      <color rgb="FFF4CECB"/>
      <color rgb="FFFF5050"/>
      <color rgb="FF006C60"/>
      <color rgb="FF8DC182"/>
      <color rgb="FFFAB067"/>
      <color rgb="FFD96A75"/>
      <color rgb="FF0000FF"/>
      <color rgb="FFE27E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strRef>
              <c:f>'③-1_フラジリティ評価・スコア集計用'!$B$15</c:f>
              <c:strCache>
                <c:ptCount val="1"/>
                <c:pt idx="0">
                  <c:v>地震リスク（地震動）</c:v>
                </c:pt>
              </c:strCache>
            </c:strRef>
          </c:tx>
          <c:spPr>
            <a:ln w="28575" cap="rnd">
              <a:solidFill>
                <a:schemeClr val="accent1"/>
              </a:solidFill>
              <a:round/>
            </a:ln>
            <a:effectLst/>
          </c:spPr>
          <c:marker>
            <c:symbol val="none"/>
          </c:marker>
          <c:cat>
            <c:strRef>
              <c:f>'③-1_フラジリティ評価・スコア集計用'!$H$14:$M$14</c:f>
              <c:strCache>
                <c:ptCount val="6"/>
                <c:pt idx="0">
                  <c:v>１．施設・建物</c:v>
                </c:pt>
                <c:pt idx="1">
                  <c:v>２．生産設備・重要資産</c:v>
                </c:pt>
                <c:pt idx="2">
                  <c:v>３．ユーティリティ</c:v>
                </c:pt>
                <c:pt idx="3">
                  <c:v>４．二次災害対策</c:v>
                </c:pt>
                <c:pt idx="4">
                  <c:v>５．防災計画等</c:v>
                </c:pt>
                <c:pt idx="5">
                  <c:v>６．人命安全</c:v>
                </c:pt>
              </c:strCache>
            </c:strRef>
          </c:cat>
          <c:val>
            <c:numRef>
              <c:f>'③-1_フラジリティ評価・スコア集計用'!$H$15:$M$15</c:f>
            </c:numRef>
          </c:val>
          <c:extLst>
            <c:ext xmlns:c16="http://schemas.microsoft.com/office/drawing/2014/chart" uri="{C3380CC4-5D6E-409C-BE32-E72D297353CC}">
              <c16:uniqueId val="{00000000-5351-4095-8BD6-EF933B569DFE}"/>
            </c:ext>
          </c:extLst>
        </c:ser>
        <c:dLbls>
          <c:showLegendKey val="0"/>
          <c:showVal val="0"/>
          <c:showCatName val="0"/>
          <c:showSerName val="0"/>
          <c:showPercent val="0"/>
          <c:showBubbleSize val="0"/>
        </c:dLbls>
        <c:axId val="396063648"/>
        <c:axId val="396064304"/>
      </c:radarChart>
      <c:catAx>
        <c:axId val="3960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96064304"/>
        <c:crosses val="autoZero"/>
        <c:auto val="1"/>
        <c:lblAlgn val="ctr"/>
        <c:lblOffset val="100"/>
        <c:noMultiLvlLbl val="0"/>
      </c:catAx>
      <c:valAx>
        <c:axId val="39606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96063648"/>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strRef>
              <c:f>'③-1_フラジリティ評価・スコア集計用'!$B$16</c:f>
              <c:strCache>
                <c:ptCount val="1"/>
                <c:pt idx="0">
                  <c:v>地震リスク（津波）</c:v>
                </c:pt>
              </c:strCache>
            </c:strRef>
          </c:tx>
          <c:spPr>
            <a:ln w="28575" cap="rnd">
              <a:solidFill>
                <a:schemeClr val="accent1"/>
              </a:solidFill>
              <a:round/>
            </a:ln>
            <a:effectLst/>
          </c:spPr>
          <c:marker>
            <c:symbol val="none"/>
          </c:marker>
          <c:cat>
            <c:strRef>
              <c:f>'③-1_フラジリティ評価・スコア集計用'!$H$14:$M$14</c:f>
              <c:strCache>
                <c:ptCount val="6"/>
                <c:pt idx="0">
                  <c:v>１．施設・建物</c:v>
                </c:pt>
                <c:pt idx="1">
                  <c:v>２．生産設備・重要資産</c:v>
                </c:pt>
                <c:pt idx="2">
                  <c:v>３．ユーティリティ</c:v>
                </c:pt>
                <c:pt idx="3">
                  <c:v>４．二次災害対策</c:v>
                </c:pt>
                <c:pt idx="4">
                  <c:v>５．防災計画等</c:v>
                </c:pt>
                <c:pt idx="5">
                  <c:v>６．人命安全</c:v>
                </c:pt>
              </c:strCache>
            </c:strRef>
          </c:cat>
          <c:val>
            <c:numRef>
              <c:f>'③-1_フラジリティ評価・スコア集計用'!$H$16:$M$16</c:f>
            </c:numRef>
          </c:val>
          <c:extLst>
            <c:ext xmlns:c16="http://schemas.microsoft.com/office/drawing/2014/chart" uri="{C3380CC4-5D6E-409C-BE32-E72D297353CC}">
              <c16:uniqueId val="{00000000-0073-4003-A686-A561E65423F6}"/>
            </c:ext>
          </c:extLst>
        </c:ser>
        <c:dLbls>
          <c:showLegendKey val="0"/>
          <c:showVal val="0"/>
          <c:showCatName val="0"/>
          <c:showSerName val="0"/>
          <c:showPercent val="0"/>
          <c:showBubbleSize val="0"/>
        </c:dLbls>
        <c:axId val="396063648"/>
        <c:axId val="396064304"/>
      </c:radarChart>
      <c:catAx>
        <c:axId val="3960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96064304"/>
        <c:crosses val="autoZero"/>
        <c:auto val="1"/>
        <c:lblAlgn val="ctr"/>
        <c:lblOffset val="100"/>
        <c:noMultiLvlLbl val="0"/>
      </c:catAx>
      <c:valAx>
        <c:axId val="39606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96063648"/>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strRef>
              <c:f>'③-1_フラジリティ評価・スコア集計用'!$B$17</c:f>
              <c:strCache>
                <c:ptCount val="1"/>
                <c:pt idx="0">
                  <c:v>風災リスク</c:v>
                </c:pt>
              </c:strCache>
            </c:strRef>
          </c:tx>
          <c:spPr>
            <a:ln w="38100" cap="rnd">
              <a:solidFill>
                <a:srgbClr val="FF0000"/>
              </a:solidFill>
              <a:round/>
            </a:ln>
            <a:effectLst/>
          </c:spPr>
          <c:marker>
            <c:symbol val="none"/>
          </c:marker>
          <c:cat>
            <c:strRef>
              <c:f>'③-1_フラジリティ評価・スコア集計用'!$H$14:$M$14</c:f>
              <c:strCache>
                <c:ptCount val="6"/>
                <c:pt idx="0">
                  <c:v>１．施設・建物</c:v>
                </c:pt>
                <c:pt idx="1">
                  <c:v>２．生産設備・重要資産</c:v>
                </c:pt>
                <c:pt idx="2">
                  <c:v>３．ユーティリティ</c:v>
                </c:pt>
                <c:pt idx="3">
                  <c:v>４．二次災害対策</c:v>
                </c:pt>
                <c:pt idx="4">
                  <c:v>５．防災計画等</c:v>
                </c:pt>
                <c:pt idx="5">
                  <c:v>６．人命安全</c:v>
                </c:pt>
              </c:strCache>
            </c:strRef>
          </c:cat>
          <c:val>
            <c:numRef>
              <c:f>'③-1_フラジリティ評価・スコア集計用'!$H$17:$M$17</c:f>
              <c:numCache>
                <c:formatCode>0.0%</c:formatCode>
                <c:ptCount val="6"/>
                <c:pt idx="0">
                  <c:v>0.36842105263157893</c:v>
                </c:pt>
                <c:pt idx="3">
                  <c:v>1</c:v>
                </c:pt>
                <c:pt idx="4">
                  <c:v>0.66666666666666663</c:v>
                </c:pt>
                <c:pt idx="5">
                  <c:v>1</c:v>
                </c:pt>
              </c:numCache>
            </c:numRef>
          </c:val>
          <c:extLst>
            <c:ext xmlns:c16="http://schemas.microsoft.com/office/drawing/2014/chart" uri="{C3380CC4-5D6E-409C-BE32-E72D297353CC}">
              <c16:uniqueId val="{00000000-3131-4A2C-A90B-E5CD1577E3F7}"/>
            </c:ext>
          </c:extLst>
        </c:ser>
        <c:dLbls>
          <c:showLegendKey val="0"/>
          <c:showVal val="0"/>
          <c:showCatName val="0"/>
          <c:showSerName val="0"/>
          <c:showPercent val="0"/>
          <c:showBubbleSize val="0"/>
        </c:dLbls>
        <c:axId val="396063648"/>
        <c:axId val="396064304"/>
      </c:radarChart>
      <c:catAx>
        <c:axId val="3960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96064304"/>
        <c:crosses val="autoZero"/>
        <c:auto val="1"/>
        <c:lblAlgn val="ctr"/>
        <c:lblOffset val="100"/>
        <c:noMultiLvlLbl val="0"/>
      </c:catAx>
      <c:valAx>
        <c:axId val="39606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96063648"/>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strRef>
              <c:f>'③-1_フラジリティ評価・スコア集計用'!$B$18</c:f>
              <c:strCache>
                <c:ptCount val="1"/>
                <c:pt idx="0">
                  <c:v>水災リスク（浸水）</c:v>
                </c:pt>
              </c:strCache>
            </c:strRef>
          </c:tx>
          <c:spPr>
            <a:ln w="38100" cap="rnd">
              <a:solidFill>
                <a:srgbClr val="FF0000"/>
              </a:solidFill>
              <a:round/>
            </a:ln>
            <a:effectLst/>
          </c:spPr>
          <c:marker>
            <c:symbol val="none"/>
          </c:marker>
          <c:cat>
            <c:strRef>
              <c:f>'③-1_フラジリティ評価・スコア集計用'!$H$14:$M$14</c:f>
              <c:strCache>
                <c:ptCount val="6"/>
                <c:pt idx="0">
                  <c:v>１．施設・建物</c:v>
                </c:pt>
                <c:pt idx="1">
                  <c:v>２．生産設備・重要資産</c:v>
                </c:pt>
                <c:pt idx="2">
                  <c:v>３．ユーティリティ</c:v>
                </c:pt>
                <c:pt idx="3">
                  <c:v>４．二次災害対策</c:v>
                </c:pt>
                <c:pt idx="4">
                  <c:v>５．防災計画等</c:v>
                </c:pt>
                <c:pt idx="5">
                  <c:v>６．人命安全</c:v>
                </c:pt>
              </c:strCache>
            </c:strRef>
          </c:cat>
          <c:val>
            <c:numRef>
              <c:f>'③-1_フラジリティ評価・スコア集計用'!$H$18:$M$18</c:f>
              <c:numCache>
                <c:formatCode>0.0%</c:formatCode>
                <c:ptCount val="6"/>
                <c:pt idx="0">
                  <c:v>0.34210526315789475</c:v>
                </c:pt>
                <c:pt idx="1">
                  <c:v>0.375</c:v>
                </c:pt>
                <c:pt idx="2">
                  <c:v>1</c:v>
                </c:pt>
                <c:pt idx="3">
                  <c:v>1</c:v>
                </c:pt>
                <c:pt idx="4">
                  <c:v>0.83333333333333337</c:v>
                </c:pt>
                <c:pt idx="5">
                  <c:v>1</c:v>
                </c:pt>
              </c:numCache>
            </c:numRef>
          </c:val>
          <c:extLst>
            <c:ext xmlns:c16="http://schemas.microsoft.com/office/drawing/2014/chart" uri="{C3380CC4-5D6E-409C-BE32-E72D297353CC}">
              <c16:uniqueId val="{00000000-F997-44C0-9974-2722C4D29885}"/>
            </c:ext>
          </c:extLst>
        </c:ser>
        <c:dLbls>
          <c:showLegendKey val="0"/>
          <c:showVal val="0"/>
          <c:showCatName val="0"/>
          <c:showSerName val="0"/>
          <c:showPercent val="0"/>
          <c:showBubbleSize val="0"/>
        </c:dLbls>
        <c:axId val="396063648"/>
        <c:axId val="396064304"/>
      </c:radarChart>
      <c:catAx>
        <c:axId val="3960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96064304"/>
        <c:crosses val="autoZero"/>
        <c:auto val="1"/>
        <c:lblAlgn val="ctr"/>
        <c:lblOffset val="100"/>
        <c:noMultiLvlLbl val="0"/>
      </c:catAx>
      <c:valAx>
        <c:axId val="39606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96063648"/>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251732</xdr:colOff>
      <xdr:row>4</xdr:row>
      <xdr:rowOff>159202</xdr:rowOff>
    </xdr:from>
    <xdr:to>
      <xdr:col>8</xdr:col>
      <xdr:colOff>190500</xdr:colOff>
      <xdr:row>24</xdr:row>
      <xdr:rowOff>163286</xdr:rowOff>
    </xdr:to>
    <xdr:graphicFrame macro="">
      <xdr:nvGraphicFramePr>
        <xdr:cNvPr id="2" name="グラフ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326571</xdr:colOff>
      <xdr:row>5</xdr:row>
      <xdr:rowOff>-1</xdr:rowOff>
    </xdr:from>
    <xdr:to>
      <xdr:col>15</xdr:col>
      <xdr:colOff>659947</xdr:colOff>
      <xdr:row>25</xdr:row>
      <xdr:rowOff>4083</xdr:rowOff>
    </xdr:to>
    <xdr:graphicFrame macro="">
      <xdr:nvGraphicFramePr>
        <xdr:cNvPr id="3" name="グラフ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231322</xdr:colOff>
      <xdr:row>29</xdr:row>
      <xdr:rowOff>1</xdr:rowOff>
    </xdr:from>
    <xdr:to>
      <xdr:col>8</xdr:col>
      <xdr:colOff>170090</xdr:colOff>
      <xdr:row>49</xdr:row>
      <xdr:rowOff>4085</xdr:rowOff>
    </xdr:to>
    <xdr:graphicFrame macro="">
      <xdr:nvGraphicFramePr>
        <xdr:cNvPr id="4" name="グラフ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299357</xdr:colOff>
      <xdr:row>28</xdr:row>
      <xdr:rowOff>149679</xdr:rowOff>
    </xdr:from>
    <xdr:to>
      <xdr:col>15</xdr:col>
      <xdr:colOff>632733</xdr:colOff>
      <xdr:row>48</xdr:row>
      <xdr:rowOff>153763</xdr:rowOff>
    </xdr:to>
    <xdr:graphicFrame macro="">
      <xdr:nvGraphicFramePr>
        <xdr:cNvPr id="5" name="グラフ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7C3CC-48E4-4A42-8C8E-3C63665C14BF}">
  <dimension ref="A1:F16"/>
  <sheetViews>
    <sheetView tabSelected="1" zoomScale="70" zoomScaleNormal="70" workbookViewId="0">
      <selection activeCell="A2" sqref="A2:F16"/>
    </sheetView>
  </sheetViews>
  <sheetFormatPr defaultRowHeight="16.5" x14ac:dyDescent="0.4"/>
  <cols>
    <col min="1" max="6" width="20.625" style="216" customWidth="1"/>
    <col min="7" max="16384" width="9" style="216"/>
  </cols>
  <sheetData>
    <row r="1" spans="1:6" ht="17.25" thickBot="1" x14ac:dyDescent="0.45">
      <c r="A1" s="216" t="s">
        <v>594</v>
      </c>
    </row>
    <row r="2" spans="1:6" ht="19.5" customHeight="1" thickBot="1" x14ac:dyDescent="0.45">
      <c r="A2" s="220" t="s">
        <v>593</v>
      </c>
      <c r="B2" s="221"/>
      <c r="C2" s="221"/>
      <c r="D2" s="221"/>
      <c r="E2" s="221"/>
      <c r="F2" s="222"/>
    </row>
    <row r="3" spans="1:6" ht="19.5" customHeight="1" thickBot="1" x14ac:dyDescent="0.45">
      <c r="A3" s="223">
        <f>100*'②-1_ハザード評価・スコア集計用'!E6</f>
        <v>57.777777777777786</v>
      </c>
      <c r="B3" s="224"/>
      <c r="C3" s="224"/>
      <c r="D3" s="224"/>
      <c r="E3" s="224"/>
      <c r="F3" s="225"/>
    </row>
    <row r="4" spans="1:6" ht="17.25" thickBot="1" x14ac:dyDescent="0.45"/>
    <row r="5" spans="1:6" ht="19.5" customHeight="1" thickBot="1" x14ac:dyDescent="0.45">
      <c r="A5" s="220" t="s">
        <v>608</v>
      </c>
      <c r="B5" s="221"/>
      <c r="C5" s="221"/>
      <c r="D5" s="221"/>
      <c r="E5" s="221"/>
      <c r="F5" s="222"/>
    </row>
    <row r="6" spans="1:6" ht="33.75" thickBot="1" x14ac:dyDescent="0.45">
      <c r="A6" s="217" t="s">
        <v>588</v>
      </c>
      <c r="B6" s="218" t="s">
        <v>589</v>
      </c>
      <c r="C6" s="218" t="s">
        <v>587</v>
      </c>
      <c r="D6" s="218" t="s">
        <v>590</v>
      </c>
      <c r="E6" s="218" t="s">
        <v>591</v>
      </c>
      <c r="F6" s="218" t="s">
        <v>592</v>
      </c>
    </row>
    <row r="7" spans="1:6" ht="17.25" thickBot="1" x14ac:dyDescent="0.45">
      <c r="A7" s="219">
        <f>100*'③-1_フラジリティ評価・スコア集計用'!H17</f>
        <v>36.84210526315789</v>
      </c>
      <c r="B7" s="219" t="s">
        <v>595</v>
      </c>
      <c r="C7" s="219" t="s">
        <v>595</v>
      </c>
      <c r="D7" s="219">
        <f>100*'③-1_フラジリティ評価・スコア集計用'!K17</f>
        <v>100</v>
      </c>
      <c r="E7" s="219">
        <f>100*'③-1_フラジリティ評価・スコア集計用'!L17</f>
        <v>66.666666666666657</v>
      </c>
      <c r="F7" s="219">
        <f>100*'③-1_フラジリティ評価・スコア集計用'!M17</f>
        <v>100</v>
      </c>
    </row>
    <row r="10" spans="1:6" ht="17.25" thickBot="1" x14ac:dyDescent="0.45">
      <c r="A10" s="216" t="s">
        <v>596</v>
      </c>
    </row>
    <row r="11" spans="1:6" ht="19.5" customHeight="1" thickBot="1" x14ac:dyDescent="0.45">
      <c r="A11" s="220" t="s">
        <v>593</v>
      </c>
      <c r="B11" s="221"/>
      <c r="C11" s="221"/>
      <c r="D11" s="221"/>
      <c r="E11" s="221"/>
      <c r="F11" s="222"/>
    </row>
    <row r="12" spans="1:6" ht="17.25" thickBot="1" x14ac:dyDescent="0.45">
      <c r="A12" s="223">
        <f>100*'②-1_ハザード評価・スコア集計用'!E7</f>
        <v>52</v>
      </c>
      <c r="B12" s="224"/>
      <c r="C12" s="224"/>
      <c r="D12" s="224"/>
      <c r="E12" s="224"/>
      <c r="F12" s="225"/>
    </row>
    <row r="13" spans="1:6" ht="17.25" thickBot="1" x14ac:dyDescent="0.45"/>
    <row r="14" spans="1:6" ht="19.5" customHeight="1" thickBot="1" x14ac:dyDescent="0.45">
      <c r="A14" s="220" t="s">
        <v>608</v>
      </c>
      <c r="B14" s="221"/>
      <c r="C14" s="221"/>
      <c r="D14" s="221"/>
      <c r="E14" s="221"/>
      <c r="F14" s="222"/>
    </row>
    <row r="15" spans="1:6" ht="33.75" thickBot="1" x14ac:dyDescent="0.45">
      <c r="A15" s="217" t="s">
        <v>588</v>
      </c>
      <c r="B15" s="218" t="s">
        <v>589</v>
      </c>
      <c r="C15" s="218" t="s">
        <v>587</v>
      </c>
      <c r="D15" s="218" t="s">
        <v>590</v>
      </c>
      <c r="E15" s="218" t="s">
        <v>591</v>
      </c>
      <c r="F15" s="218" t="s">
        <v>592</v>
      </c>
    </row>
    <row r="16" spans="1:6" ht="17.25" thickBot="1" x14ac:dyDescent="0.45">
      <c r="A16" s="219">
        <f>100*'③-1_フラジリティ評価・スコア集計用'!H18</f>
        <v>34.210526315789473</v>
      </c>
      <c r="B16" s="219">
        <f>100*'③-1_フラジリティ評価・スコア集計用'!I18</f>
        <v>37.5</v>
      </c>
      <c r="C16" s="219">
        <f>100*'③-1_フラジリティ評価・スコア集計用'!J18</f>
        <v>100</v>
      </c>
      <c r="D16" s="219">
        <f>100*'③-1_フラジリティ評価・スコア集計用'!K18</f>
        <v>100</v>
      </c>
      <c r="E16" s="219">
        <f>100*'③-1_フラジリティ評価・スコア集計用'!L18</f>
        <v>83.333333333333343</v>
      </c>
      <c r="F16" s="219">
        <f>100*'③-1_フラジリティ評価・スコア集計用'!M18</f>
        <v>100</v>
      </c>
    </row>
  </sheetData>
  <mergeCells count="6">
    <mergeCell ref="A14:F14"/>
    <mergeCell ref="A2:F2"/>
    <mergeCell ref="A3:F3"/>
    <mergeCell ref="A5:F5"/>
    <mergeCell ref="A11:F11"/>
    <mergeCell ref="A12:F12"/>
  </mergeCells>
  <phoneticPr fontId="3"/>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2:W34"/>
  <sheetViews>
    <sheetView workbookViewId="0"/>
  </sheetViews>
  <sheetFormatPr defaultRowHeight="18.75" outlineLevelRow="1" outlineLevelCol="1" x14ac:dyDescent="0.4"/>
  <cols>
    <col min="1" max="1" width="5.25" customWidth="1"/>
    <col min="2" max="2" width="23.5" bestFit="1" customWidth="1"/>
    <col min="3" max="4" width="10.375" hidden="1" customWidth="1" outlineLevel="1"/>
    <col min="5" max="5" width="9.875" customWidth="1" collapsed="1"/>
    <col min="6" max="6" width="7.375" customWidth="1"/>
    <col min="7" max="8" width="11.875" style="3" customWidth="1"/>
    <col min="9" max="13" width="11.875" style="4" customWidth="1"/>
    <col min="14" max="16" width="11.875" customWidth="1"/>
    <col min="17" max="17" width="11.875" hidden="1" customWidth="1" outlineLevel="1"/>
    <col min="18" max="18" width="5.625" hidden="1" customWidth="1" outlineLevel="1"/>
    <col min="19" max="19" width="3.625" hidden="1" customWidth="1" outlineLevel="1"/>
    <col min="20" max="20" width="6.75" hidden="1" customWidth="1" outlineLevel="1"/>
    <col min="21" max="22" width="9" hidden="1" customWidth="1" outlineLevel="1"/>
    <col min="23" max="23" width="9" collapsed="1"/>
  </cols>
  <sheetData>
    <row r="2" spans="2:21" x14ac:dyDescent="0.4">
      <c r="B2" t="s">
        <v>21</v>
      </c>
    </row>
    <row r="3" spans="2:21" s="5" customFormat="1" ht="37.5" x14ac:dyDescent="0.4">
      <c r="B3" s="6" t="s">
        <v>16</v>
      </c>
      <c r="C3" s="6" t="s">
        <v>19</v>
      </c>
      <c r="D3" s="6" t="s">
        <v>20</v>
      </c>
      <c r="E3" s="6" t="s">
        <v>368</v>
      </c>
      <c r="F3" s="6" t="s">
        <v>23</v>
      </c>
      <c r="G3" s="7" t="s">
        <v>585</v>
      </c>
      <c r="H3" s="7" t="s">
        <v>584</v>
      </c>
      <c r="I3" s="7" t="s">
        <v>583</v>
      </c>
      <c r="J3" s="7" t="s">
        <v>582</v>
      </c>
      <c r="K3" s="7" t="s">
        <v>581</v>
      </c>
      <c r="L3" s="7" t="s">
        <v>580</v>
      </c>
      <c r="M3" s="7" t="s">
        <v>579</v>
      </c>
      <c r="N3" s="7" t="s">
        <v>576</v>
      </c>
      <c r="O3" s="7" t="s">
        <v>578</v>
      </c>
      <c r="P3" s="7" t="s">
        <v>577</v>
      </c>
      <c r="R3" t="s">
        <v>31</v>
      </c>
    </row>
    <row r="4" spans="2:21" hidden="1" outlineLevel="1" x14ac:dyDescent="0.4">
      <c r="B4" s="9" t="s">
        <v>7</v>
      </c>
      <c r="C4" s="9" t="str">
        <f t="shared" ref="C4:C11" si="0">IF(E4&lt;$T$4,$U$4,IF(E4&lt;$T$5,$U$5,IF(E4&lt;$T$6,$U$6,IF(E4&lt;$T$7,$U$7,IF(E4&lt;=$T$8,$U$8,FALSE)))))</f>
        <v>★★★★★</v>
      </c>
      <c r="D4" s="9">
        <f t="shared" ref="D4:D11" si="1">IF(E4&lt;$T$4,1,IF(E4&lt;$T$5,2,IF(E4&lt;$T$6,3,IF(E4&lt;$T$7,4,IF(E4&lt;=$T$8,5,FALSE)))))</f>
        <v>5</v>
      </c>
      <c r="E4" s="52">
        <f t="shared" ref="E4:E11" si="2">F4/F15</f>
        <v>0.81111111111111112</v>
      </c>
      <c r="F4" s="9">
        <f>G4*G26+H4*H26+I4*I26+J4*J26+K4*K26</f>
        <v>3.65</v>
      </c>
      <c r="G4" s="10">
        <f>'②-2_ハザード評価・スコア計算用'!R3</f>
        <v>5</v>
      </c>
      <c r="H4" s="10">
        <f>'②-2_ハザード評価・スコア計算用'!R10</f>
        <v>5</v>
      </c>
      <c r="I4" s="10">
        <f>'②-2_ハザード評価・スコア計算用'!R12</f>
        <v>2</v>
      </c>
      <c r="J4" s="10">
        <f>'②-2_ハザード評価・スコア計算用'!R14</f>
        <v>1</v>
      </c>
      <c r="K4" s="10">
        <f>'②-2_ハザード評価・スコア計算用'!R18</f>
        <v>0</v>
      </c>
      <c r="L4" s="10"/>
      <c r="M4" s="10"/>
      <c r="N4" s="13"/>
      <c r="O4" s="53"/>
      <c r="P4" s="53"/>
      <c r="R4" s="2">
        <v>0</v>
      </c>
      <c r="S4" t="s">
        <v>378</v>
      </c>
      <c r="T4" s="2">
        <v>0.2</v>
      </c>
      <c r="U4" t="s">
        <v>379</v>
      </c>
    </row>
    <row r="5" spans="2:21" hidden="1" outlineLevel="1" x14ac:dyDescent="0.4">
      <c r="B5" s="9" t="s">
        <v>8</v>
      </c>
      <c r="C5" s="9" t="str">
        <f t="shared" si="0"/>
        <v>★★★★</v>
      </c>
      <c r="D5" s="9">
        <f t="shared" si="1"/>
        <v>4</v>
      </c>
      <c r="E5" s="52">
        <f t="shared" si="2"/>
        <v>0.6</v>
      </c>
      <c r="F5" s="9">
        <f>G5*G27</f>
        <v>3</v>
      </c>
      <c r="G5" s="10">
        <f>'②-2_ハザード評価・スコア計算用'!R21</f>
        <v>3</v>
      </c>
      <c r="H5" s="10"/>
      <c r="I5" s="10"/>
      <c r="J5" s="10"/>
      <c r="K5" s="10"/>
      <c r="L5" s="10"/>
      <c r="M5" s="10"/>
      <c r="N5" s="13"/>
      <c r="O5" s="53"/>
      <c r="P5" s="53"/>
      <c r="R5" s="2">
        <v>0.2</v>
      </c>
      <c r="S5" t="s">
        <v>378</v>
      </c>
      <c r="T5" s="2">
        <v>0.4</v>
      </c>
      <c r="U5" t="s">
        <v>380</v>
      </c>
    </row>
    <row r="6" spans="2:21" collapsed="1" x14ac:dyDescent="0.4">
      <c r="B6" s="9" t="s">
        <v>1</v>
      </c>
      <c r="C6" s="9" t="str">
        <f t="shared" si="0"/>
        <v>★★★</v>
      </c>
      <c r="D6" s="9">
        <f t="shared" si="1"/>
        <v>3</v>
      </c>
      <c r="E6" s="180">
        <f t="shared" si="2"/>
        <v>0.57777777777777783</v>
      </c>
      <c r="F6" s="9">
        <f t="shared" ref="F6:F11" si="3">G6*G28+H6*H28+I6*I28+J6*J28+K6*K28+L6*L28+M6*M28+N6*N28</f>
        <v>2.6</v>
      </c>
      <c r="G6" s="214">
        <f>'②-2_ハザード評価・スコア計算用'!R26</f>
        <v>3</v>
      </c>
      <c r="H6" s="214">
        <f>'②-2_ハザード評価・スコア計算用'!R34</f>
        <v>3</v>
      </c>
      <c r="I6" s="214">
        <f>'②-2_ハザード評価・スコア計算用'!R36</f>
        <v>3</v>
      </c>
      <c r="J6" s="214">
        <f>'②-2_ハザード評価・スコア計算用'!R38</f>
        <v>2</v>
      </c>
      <c r="K6" s="214">
        <f>'②-2_ハザード評価・スコア計算用'!R40</f>
        <v>0</v>
      </c>
      <c r="L6" s="214"/>
      <c r="M6" s="214"/>
      <c r="N6" s="214"/>
      <c r="O6" s="215"/>
      <c r="P6" s="215"/>
      <c r="R6" s="2">
        <v>0.4</v>
      </c>
      <c r="S6" t="s">
        <v>381</v>
      </c>
      <c r="T6" s="2">
        <v>0.6</v>
      </c>
      <c r="U6" t="s">
        <v>382</v>
      </c>
    </row>
    <row r="7" spans="2:21" x14ac:dyDescent="0.4">
      <c r="B7" s="9" t="s">
        <v>12</v>
      </c>
      <c r="C7" s="9" t="str">
        <f t="shared" si="0"/>
        <v>★★★</v>
      </c>
      <c r="D7" s="9">
        <f t="shared" si="1"/>
        <v>3</v>
      </c>
      <c r="E7" s="180">
        <f>F7/F18</f>
        <v>0.52</v>
      </c>
      <c r="F7" s="9">
        <f t="shared" si="3"/>
        <v>1.95</v>
      </c>
      <c r="G7" s="214">
        <f>IF(SUM('②-2_ハザード評価・スコア計算用'!K45:P45)&gt;0,0,'②-2_ハザード評価・スコア計算用'!R43)</f>
        <v>5</v>
      </c>
      <c r="H7" s="214">
        <f>IF(SUM('②-2_ハザード評価・スコア計算用'!K46:P46)&gt;0,0,'②-2_ハザード評価・スコア計算用'!R44)</f>
        <v>3</v>
      </c>
      <c r="I7" s="214">
        <f>IF(SUM('②-2_ハザード評価・スコア計算用'!K45:P45)&gt;0,'②-2_ハザード評価・スコア計算用'!R45,0)</f>
        <v>0</v>
      </c>
      <c r="J7" s="214">
        <f>IF(SUM('②-2_ハザード評価・スコア計算用'!K46:P46)&gt;0,'②-2_ハザード評価・スコア計算用'!R46,0)</f>
        <v>0</v>
      </c>
      <c r="K7" s="214">
        <f>IF(SUM('②-2_ハザード評価・スコア計算用'!L51:P51)=0,IF(SUM('②-2_ハザード評価・スコア計算用'!K50:P50)=0,'②-2_ハザード評価・スコア計算用'!R48,0),0)</f>
        <v>0</v>
      </c>
      <c r="L7" s="214">
        <f>IF(SUM('②-2_ハザード評価・スコア計算用'!L51:P51)&gt;0,0,'②-2_ハザード評価・スコア計算用'!R50)</f>
        <v>1</v>
      </c>
      <c r="M7" s="214">
        <f>IF(SUM('②-2_ハザード評価・スコア計算用'!L51:P51)&gt;0,'②-2_ハザード評価・スコア計算用'!R51,0)</f>
        <v>0</v>
      </c>
      <c r="N7" s="214">
        <f>IF(SUM('②-2_ハザード評価・スコア計算用'!K55:P55)&gt;0,0,'②-2_ハザード評価・スコア計算用'!R54)</f>
        <v>0</v>
      </c>
      <c r="O7" s="215">
        <f>IF(SUM('②-2_ハザード評価・スコア計算用'!K55:P55)&gt;0,'②-2_ハザード評価・スコア計算用'!R55,0)</f>
        <v>0</v>
      </c>
      <c r="P7" s="215">
        <f>IF('②-2_ハザード評価・スコア計算用'!K57=0,0,'②-2_ハザード評価・スコア計算用'!R57)</f>
        <v>0</v>
      </c>
      <c r="R7" s="2">
        <v>0.6</v>
      </c>
      <c r="S7" t="s">
        <v>378</v>
      </c>
      <c r="T7" s="2">
        <v>0.8</v>
      </c>
      <c r="U7" t="s">
        <v>383</v>
      </c>
    </row>
    <row r="8" spans="2:21" hidden="1" outlineLevel="1" x14ac:dyDescent="0.4">
      <c r="B8" s="9" t="s">
        <v>13</v>
      </c>
      <c r="C8" s="9" t="str">
        <f t="shared" si="0"/>
        <v>★</v>
      </c>
      <c r="D8" s="9">
        <f t="shared" si="1"/>
        <v>1</v>
      </c>
      <c r="E8" s="52">
        <f t="shared" si="2"/>
        <v>0</v>
      </c>
      <c r="F8" s="9">
        <f t="shared" si="3"/>
        <v>0</v>
      </c>
      <c r="G8" s="10"/>
      <c r="H8" s="10"/>
      <c r="I8" s="10"/>
      <c r="J8" s="10"/>
      <c r="K8" s="10"/>
      <c r="L8" s="10"/>
      <c r="M8" s="10"/>
      <c r="N8" s="10"/>
      <c r="O8" s="53"/>
      <c r="P8" s="53"/>
      <c r="R8" s="2">
        <v>0.8</v>
      </c>
      <c r="S8" t="s">
        <v>378</v>
      </c>
      <c r="T8" s="2">
        <v>1</v>
      </c>
      <c r="U8" t="s">
        <v>384</v>
      </c>
    </row>
    <row r="9" spans="2:21" hidden="1" outlineLevel="1" x14ac:dyDescent="0.4">
      <c r="B9" s="9" t="s">
        <v>2</v>
      </c>
      <c r="C9" s="9" t="str">
        <f t="shared" si="0"/>
        <v>★</v>
      </c>
      <c r="D9" s="9">
        <f t="shared" si="1"/>
        <v>1</v>
      </c>
      <c r="E9" s="52">
        <f t="shared" si="2"/>
        <v>0</v>
      </c>
      <c r="F9" s="9">
        <f t="shared" si="3"/>
        <v>0</v>
      </c>
      <c r="G9" s="10"/>
      <c r="H9" s="10"/>
      <c r="I9" s="10"/>
      <c r="J9" s="10"/>
      <c r="K9" s="10"/>
      <c r="L9" s="10"/>
      <c r="M9" s="10"/>
      <c r="N9" s="10"/>
      <c r="O9" s="53"/>
      <c r="P9" s="53"/>
      <c r="R9" s="2"/>
    </row>
    <row r="10" spans="2:21" hidden="1" outlineLevel="1" x14ac:dyDescent="0.4">
      <c r="B10" s="9" t="s">
        <v>14</v>
      </c>
      <c r="C10" s="9" t="str">
        <f t="shared" si="0"/>
        <v>★</v>
      </c>
      <c r="D10" s="9">
        <f t="shared" si="1"/>
        <v>1</v>
      </c>
      <c r="E10" s="52">
        <f t="shared" si="2"/>
        <v>0</v>
      </c>
      <c r="F10" s="9">
        <f t="shared" si="3"/>
        <v>0</v>
      </c>
      <c r="G10" s="10"/>
      <c r="H10" s="10"/>
      <c r="I10" s="10"/>
      <c r="J10" s="10"/>
      <c r="K10" s="10"/>
      <c r="L10" s="10"/>
      <c r="M10" s="10"/>
      <c r="N10" s="10"/>
      <c r="O10" s="53"/>
      <c r="P10" s="53"/>
    </row>
    <row r="11" spans="2:21" hidden="1" outlineLevel="1" x14ac:dyDescent="0.4">
      <c r="B11" s="9" t="s">
        <v>15</v>
      </c>
      <c r="C11" s="9" t="str">
        <f t="shared" si="0"/>
        <v>★</v>
      </c>
      <c r="D11" s="9">
        <f t="shared" si="1"/>
        <v>1</v>
      </c>
      <c r="E11" s="52">
        <f t="shared" si="2"/>
        <v>0</v>
      </c>
      <c r="F11" s="9">
        <f t="shared" si="3"/>
        <v>0</v>
      </c>
      <c r="G11" s="10"/>
      <c r="H11" s="10"/>
      <c r="I11" s="10"/>
      <c r="J11" s="10"/>
      <c r="K11" s="10"/>
      <c r="L11" s="10"/>
      <c r="M11" s="10"/>
      <c r="N11" s="10"/>
      <c r="O11" s="53"/>
      <c r="P11" s="53"/>
    </row>
    <row r="12" spans="2:21" collapsed="1" x14ac:dyDescent="0.4"/>
    <row r="13" spans="2:21" x14ac:dyDescent="0.4">
      <c r="B13" t="s">
        <v>385</v>
      </c>
    </row>
    <row r="14" spans="2:21" ht="37.5" x14ac:dyDescent="0.4">
      <c r="B14" s="6" t="s">
        <v>16</v>
      </c>
      <c r="C14" s="6"/>
      <c r="D14" s="6"/>
      <c r="E14" s="6"/>
      <c r="F14" s="6" t="s">
        <v>23</v>
      </c>
      <c r="G14" s="7" t="s">
        <v>369</v>
      </c>
      <c r="H14" s="7" t="s">
        <v>370</v>
      </c>
      <c r="I14" s="7" t="s">
        <v>371</v>
      </c>
      <c r="J14" s="7" t="s">
        <v>372</v>
      </c>
      <c r="K14" s="7" t="s">
        <v>373</v>
      </c>
      <c r="L14" s="7" t="s">
        <v>374</v>
      </c>
      <c r="M14" s="7" t="s">
        <v>375</v>
      </c>
      <c r="N14" s="7" t="s">
        <v>376</v>
      </c>
      <c r="O14" s="7" t="s">
        <v>377</v>
      </c>
      <c r="P14" s="7" t="s">
        <v>377</v>
      </c>
    </row>
    <row r="15" spans="2:21" hidden="1" outlineLevel="1" x14ac:dyDescent="0.4">
      <c r="B15" s="9" t="s">
        <v>7</v>
      </c>
      <c r="C15" s="9"/>
      <c r="D15" s="9"/>
      <c r="E15" s="9"/>
      <c r="F15" s="9">
        <f t="shared" ref="F15:F22" si="4">G15*G26+H15*H26+I15*I26+J15*J26+K15*K26+L15*L26+M15*M26+N15*N26</f>
        <v>4.5</v>
      </c>
      <c r="G15" s="53">
        <v>5</v>
      </c>
      <c r="H15" s="53">
        <v>5</v>
      </c>
      <c r="I15" s="53">
        <v>5</v>
      </c>
      <c r="J15" s="53">
        <v>5</v>
      </c>
      <c r="K15" s="53">
        <f>IF(SUM('②-2_ハザード評価・スコア計算用'!L18:P18)=0,0,4)</f>
        <v>0</v>
      </c>
      <c r="L15" s="53"/>
      <c r="M15" s="53"/>
      <c r="N15" s="53"/>
      <c r="O15" s="53"/>
      <c r="P15" s="53"/>
    </row>
    <row r="16" spans="2:21" hidden="1" outlineLevel="1" x14ac:dyDescent="0.4">
      <c r="B16" s="9" t="s">
        <v>8</v>
      </c>
      <c r="C16" s="9"/>
      <c r="D16" s="9"/>
      <c r="E16" s="9"/>
      <c r="F16" s="9">
        <f t="shared" si="4"/>
        <v>5</v>
      </c>
      <c r="G16" s="53">
        <v>5</v>
      </c>
      <c r="H16" s="53"/>
      <c r="I16" s="53"/>
      <c r="J16" s="53"/>
      <c r="K16" s="53"/>
      <c r="L16" s="53"/>
      <c r="M16" s="53"/>
      <c r="N16" s="53"/>
      <c r="O16" s="53"/>
      <c r="P16" s="53"/>
    </row>
    <row r="17" spans="1:17" collapsed="1" x14ac:dyDescent="0.4">
      <c r="B17" s="9" t="s">
        <v>1</v>
      </c>
      <c r="C17" s="9"/>
      <c r="D17" s="9"/>
      <c r="E17" s="9"/>
      <c r="F17" s="9">
        <f t="shared" si="4"/>
        <v>4.5</v>
      </c>
      <c r="G17" s="53">
        <v>5</v>
      </c>
      <c r="H17" s="53">
        <v>5</v>
      </c>
      <c r="I17" s="53">
        <v>5</v>
      </c>
      <c r="J17" s="53">
        <v>5</v>
      </c>
      <c r="K17" s="53">
        <v>5</v>
      </c>
      <c r="L17" s="53"/>
      <c r="M17" s="53"/>
      <c r="N17" s="53"/>
      <c r="O17" s="53"/>
      <c r="P17" s="53"/>
    </row>
    <row r="18" spans="1:17" x14ac:dyDescent="0.4">
      <c r="B18" s="9" t="s">
        <v>12</v>
      </c>
      <c r="C18" s="9"/>
      <c r="D18" s="9"/>
      <c r="E18" s="9"/>
      <c r="F18" s="9">
        <f>G18*G29+H18*H29+I18*I29+J18*J29+K18*K29+L18*L29+M18*M29+N18*N29+O18*O29+P18*P29</f>
        <v>3.75</v>
      </c>
      <c r="G18" s="53">
        <v>5</v>
      </c>
      <c r="H18" s="53">
        <v>5</v>
      </c>
      <c r="I18" s="53">
        <v>5</v>
      </c>
      <c r="J18" s="53">
        <v>5</v>
      </c>
      <c r="K18" s="53">
        <v>5</v>
      </c>
      <c r="L18" s="53">
        <v>5</v>
      </c>
      <c r="M18" s="53">
        <v>5</v>
      </c>
      <c r="N18" s="53">
        <v>5</v>
      </c>
      <c r="O18" s="53">
        <v>5</v>
      </c>
      <c r="P18" s="53">
        <v>5</v>
      </c>
    </row>
    <row r="19" spans="1:17" hidden="1" outlineLevel="1" x14ac:dyDescent="0.4">
      <c r="B19" s="9" t="s">
        <v>13</v>
      </c>
      <c r="C19" s="9"/>
      <c r="D19" s="9"/>
      <c r="E19" s="9"/>
      <c r="F19" s="9">
        <f t="shared" si="4"/>
        <v>5</v>
      </c>
      <c r="G19" s="53">
        <v>5</v>
      </c>
      <c r="H19" s="53">
        <v>5</v>
      </c>
      <c r="I19" s="53">
        <v>5</v>
      </c>
      <c r="J19" s="53">
        <v>5</v>
      </c>
      <c r="K19" s="53">
        <v>5</v>
      </c>
      <c r="L19" s="53">
        <v>5</v>
      </c>
      <c r="M19" s="53">
        <v>5</v>
      </c>
      <c r="N19" s="53">
        <v>5</v>
      </c>
      <c r="O19" s="53"/>
      <c r="P19" s="53"/>
    </row>
    <row r="20" spans="1:17" hidden="1" outlineLevel="1" x14ac:dyDescent="0.4">
      <c r="B20" s="9" t="s">
        <v>2</v>
      </c>
      <c r="C20" s="9"/>
      <c r="D20" s="9"/>
      <c r="E20" s="9"/>
      <c r="F20" s="9">
        <f t="shared" si="4"/>
        <v>5</v>
      </c>
      <c r="G20" s="53">
        <v>5</v>
      </c>
      <c r="H20" s="53">
        <v>5</v>
      </c>
      <c r="I20" s="53">
        <v>5</v>
      </c>
      <c r="J20" s="53">
        <v>5</v>
      </c>
      <c r="K20" s="53">
        <v>5</v>
      </c>
      <c r="L20" s="53">
        <v>5</v>
      </c>
      <c r="M20" s="53">
        <v>5</v>
      </c>
      <c r="N20" s="53">
        <v>5</v>
      </c>
      <c r="O20" s="53"/>
      <c r="P20" s="53"/>
    </row>
    <row r="21" spans="1:17" hidden="1" outlineLevel="1" x14ac:dyDescent="0.4">
      <c r="B21" s="9" t="s">
        <v>14</v>
      </c>
      <c r="C21" s="9"/>
      <c r="D21" s="9"/>
      <c r="E21" s="9"/>
      <c r="F21" s="9">
        <f t="shared" si="4"/>
        <v>5</v>
      </c>
      <c r="G21" s="53">
        <v>5</v>
      </c>
      <c r="H21" s="53">
        <v>5</v>
      </c>
      <c r="I21" s="53">
        <v>5</v>
      </c>
      <c r="J21" s="53">
        <v>5</v>
      </c>
      <c r="K21" s="53">
        <v>5</v>
      </c>
      <c r="L21" s="53">
        <v>5</v>
      </c>
      <c r="M21" s="53">
        <v>5</v>
      </c>
      <c r="N21" s="53">
        <v>5</v>
      </c>
      <c r="O21" s="53"/>
      <c r="P21" s="53"/>
    </row>
    <row r="22" spans="1:17" hidden="1" outlineLevel="1" x14ac:dyDescent="0.4">
      <c r="B22" s="9" t="s">
        <v>15</v>
      </c>
      <c r="C22" s="9"/>
      <c r="D22" s="9"/>
      <c r="E22" s="9"/>
      <c r="F22" s="9">
        <f t="shared" si="4"/>
        <v>5</v>
      </c>
      <c r="G22" s="53">
        <v>5</v>
      </c>
      <c r="H22" s="53">
        <v>5</v>
      </c>
      <c r="I22" s="53">
        <v>5</v>
      </c>
      <c r="J22" s="53">
        <v>5</v>
      </c>
      <c r="K22" s="53">
        <v>5</v>
      </c>
      <c r="L22" s="53">
        <v>5</v>
      </c>
      <c r="M22" s="53">
        <v>5</v>
      </c>
      <c r="N22" s="53">
        <v>5</v>
      </c>
      <c r="O22" s="53"/>
      <c r="P22" s="53"/>
    </row>
    <row r="23" spans="1:17" collapsed="1" x14ac:dyDescent="0.4"/>
    <row r="24" spans="1:17" x14ac:dyDescent="0.4">
      <c r="B24" t="s">
        <v>24</v>
      </c>
    </row>
    <row r="25" spans="1:17" x14ac:dyDescent="0.4">
      <c r="A25" s="5"/>
      <c r="B25" s="6" t="s">
        <v>16</v>
      </c>
      <c r="C25" s="6"/>
      <c r="D25" s="6"/>
      <c r="E25" s="6"/>
      <c r="F25" s="6" t="s">
        <v>22</v>
      </c>
      <c r="G25" s="7" t="s">
        <v>369</v>
      </c>
      <c r="H25" s="7" t="s">
        <v>370</v>
      </c>
      <c r="I25" s="7" t="s">
        <v>371</v>
      </c>
      <c r="J25" s="7" t="s">
        <v>372</v>
      </c>
      <c r="K25" s="7" t="s">
        <v>373</v>
      </c>
      <c r="L25" s="7" t="s">
        <v>374</v>
      </c>
      <c r="M25" s="7" t="s">
        <v>375</v>
      </c>
      <c r="N25" s="7" t="s">
        <v>376</v>
      </c>
      <c r="O25" s="7" t="s">
        <v>377</v>
      </c>
      <c r="P25" s="7" t="s">
        <v>586</v>
      </c>
      <c r="Q25" s="5"/>
    </row>
    <row r="26" spans="1:17" s="5" customFormat="1" hidden="1" outlineLevel="1" x14ac:dyDescent="0.4">
      <c r="A26"/>
      <c r="B26" s="9" t="s">
        <v>7</v>
      </c>
      <c r="C26" s="9"/>
      <c r="D26" s="9"/>
      <c r="E26" s="9"/>
      <c r="F26" s="11">
        <f>SUM(G26:N26)</f>
        <v>0.9</v>
      </c>
      <c r="G26" s="12">
        <v>0.5</v>
      </c>
      <c r="H26" s="12">
        <v>0.15</v>
      </c>
      <c r="I26" s="12">
        <v>0.15</v>
      </c>
      <c r="J26" s="12">
        <v>0.1</v>
      </c>
      <c r="K26" s="12">
        <f>IF(SUM('②-2_ハザード評価・スコア計算用'!L18:P18)=0,0,0.1)</f>
        <v>0</v>
      </c>
      <c r="L26" s="12"/>
      <c r="M26" s="12"/>
      <c r="N26" s="12"/>
      <c r="O26" s="12"/>
      <c r="P26" s="12"/>
      <c r="Q26"/>
    </row>
    <row r="27" spans="1:17" hidden="1" outlineLevel="1" x14ac:dyDescent="0.4">
      <c r="B27" s="9" t="s">
        <v>8</v>
      </c>
      <c r="C27" s="9"/>
      <c r="D27" s="9"/>
      <c r="E27" s="9"/>
      <c r="F27" s="11">
        <f t="shared" ref="F27:F33" si="5">SUM(G27:N27)</f>
        <v>1</v>
      </c>
      <c r="G27" s="12">
        <v>1</v>
      </c>
      <c r="H27" s="12"/>
      <c r="I27" s="12"/>
      <c r="J27" s="12"/>
      <c r="K27" s="12"/>
      <c r="L27" s="12"/>
      <c r="M27" s="12"/>
      <c r="N27" s="12"/>
      <c r="O27" s="12"/>
      <c r="P27" s="12"/>
    </row>
    <row r="28" spans="1:17" collapsed="1" x14ac:dyDescent="0.4">
      <c r="B28" s="9" t="s">
        <v>1</v>
      </c>
      <c r="C28" s="9"/>
      <c r="D28" s="9"/>
      <c r="E28" s="9"/>
      <c r="F28" s="11">
        <f>SUM(G28:P28)</f>
        <v>0.9</v>
      </c>
      <c r="G28" s="12">
        <v>0.5</v>
      </c>
      <c r="H28" s="12">
        <v>0.15</v>
      </c>
      <c r="I28" s="12">
        <v>0.15</v>
      </c>
      <c r="J28" s="12">
        <v>0.1</v>
      </c>
      <c r="K28" s="12">
        <f>IF('②-2_ハザード評価・スコア計算用'!L40=0,0,0.1)</f>
        <v>0</v>
      </c>
      <c r="L28" s="12"/>
      <c r="M28" s="12"/>
      <c r="N28" s="12"/>
      <c r="O28" s="12"/>
      <c r="P28" s="12"/>
    </row>
    <row r="29" spans="1:17" x14ac:dyDescent="0.4">
      <c r="B29" s="9" t="s">
        <v>12</v>
      </c>
      <c r="C29" s="9"/>
      <c r="D29" s="9"/>
      <c r="E29" s="9"/>
      <c r="F29" s="11">
        <f>SUM(G29:P29)</f>
        <v>0.75</v>
      </c>
      <c r="G29" s="12">
        <f>IF(G7=0,0,0.15)</f>
        <v>0.15</v>
      </c>
      <c r="H29" s="12">
        <f>IF(H7=0,0,0.3)</f>
        <v>0.3</v>
      </c>
      <c r="I29" s="12">
        <f>IF(I7=0,0,0.15)</f>
        <v>0</v>
      </c>
      <c r="J29" s="12">
        <f>IF(J7=0,0,0.3)</f>
        <v>0</v>
      </c>
      <c r="K29" s="12">
        <f>IF(K7=0,0,0.3)</f>
        <v>0</v>
      </c>
      <c r="L29" s="12">
        <f>IF(L7=0,0,0.3)</f>
        <v>0.3</v>
      </c>
      <c r="M29" s="12">
        <f>IF(M7=0,0,0.3)</f>
        <v>0</v>
      </c>
      <c r="N29" s="12">
        <f>IF(N7=0,0,0.15)</f>
        <v>0</v>
      </c>
      <c r="O29" s="12">
        <f>IF(O7=0,0,0.15)</f>
        <v>0</v>
      </c>
      <c r="P29" s="12">
        <f>IF(P7=0,0,0.1)</f>
        <v>0</v>
      </c>
    </row>
    <row r="30" spans="1:17" hidden="1" outlineLevel="1" x14ac:dyDescent="0.4">
      <c r="B30" s="9" t="s">
        <v>13</v>
      </c>
      <c r="C30" s="9"/>
      <c r="D30" s="9"/>
      <c r="E30" s="9"/>
      <c r="F30" s="11">
        <f t="shared" si="5"/>
        <v>1</v>
      </c>
      <c r="G30" s="12">
        <v>0.125</v>
      </c>
      <c r="H30" s="12">
        <v>0.125</v>
      </c>
      <c r="I30" s="12">
        <v>0.125</v>
      </c>
      <c r="J30" s="12">
        <v>0.125</v>
      </c>
      <c r="K30" s="12">
        <v>0.125</v>
      </c>
      <c r="L30" s="12">
        <v>0.125</v>
      </c>
      <c r="M30" s="12">
        <v>0.125</v>
      </c>
      <c r="N30" s="12">
        <v>0.125</v>
      </c>
      <c r="O30" s="12"/>
      <c r="P30" s="12"/>
    </row>
    <row r="31" spans="1:17" hidden="1" outlineLevel="1" x14ac:dyDescent="0.4">
      <c r="B31" s="9" t="s">
        <v>2</v>
      </c>
      <c r="C31" s="9"/>
      <c r="D31" s="9"/>
      <c r="E31" s="9"/>
      <c r="F31" s="11">
        <f t="shared" si="5"/>
        <v>1</v>
      </c>
      <c r="G31" s="12">
        <v>0.125</v>
      </c>
      <c r="H31" s="12">
        <v>0.125</v>
      </c>
      <c r="I31" s="12">
        <v>0.125</v>
      </c>
      <c r="J31" s="12">
        <v>0.125</v>
      </c>
      <c r="K31" s="12">
        <v>0.125</v>
      </c>
      <c r="L31" s="12">
        <v>0.125</v>
      </c>
      <c r="M31" s="12">
        <v>0.125</v>
      </c>
      <c r="N31" s="12">
        <v>0.125</v>
      </c>
      <c r="O31" s="12"/>
      <c r="P31" s="12"/>
    </row>
    <row r="32" spans="1:17" hidden="1" outlineLevel="1" x14ac:dyDescent="0.4">
      <c r="B32" s="9" t="s">
        <v>14</v>
      </c>
      <c r="C32" s="9"/>
      <c r="D32" s="9"/>
      <c r="E32" s="9"/>
      <c r="F32" s="11">
        <f t="shared" si="5"/>
        <v>1</v>
      </c>
      <c r="G32" s="12">
        <v>0.125</v>
      </c>
      <c r="H32" s="12">
        <v>0.125</v>
      </c>
      <c r="I32" s="12">
        <v>0.125</v>
      </c>
      <c r="J32" s="12">
        <v>0.125</v>
      </c>
      <c r="K32" s="12">
        <v>0.125</v>
      </c>
      <c r="L32" s="12">
        <v>0.125</v>
      </c>
      <c r="M32" s="12">
        <v>0.125</v>
      </c>
      <c r="N32" s="12">
        <v>0.125</v>
      </c>
      <c r="O32" s="12"/>
      <c r="P32" s="12"/>
    </row>
    <row r="33" spans="2:16" hidden="1" outlineLevel="1" x14ac:dyDescent="0.4">
      <c r="B33" s="9" t="s">
        <v>15</v>
      </c>
      <c r="C33" s="9"/>
      <c r="D33" s="9"/>
      <c r="E33" s="9"/>
      <c r="F33" s="11">
        <f t="shared" si="5"/>
        <v>1</v>
      </c>
      <c r="G33" s="12">
        <v>0.125</v>
      </c>
      <c r="H33" s="12">
        <v>0.125</v>
      </c>
      <c r="I33" s="12">
        <v>0.125</v>
      </c>
      <c r="J33" s="12">
        <v>0.125</v>
      </c>
      <c r="K33" s="12">
        <v>0.125</v>
      </c>
      <c r="L33" s="12">
        <v>0.125</v>
      </c>
      <c r="M33" s="12">
        <v>0.125</v>
      </c>
      <c r="N33" s="12">
        <v>0.125</v>
      </c>
      <c r="O33" s="12"/>
      <c r="P33" s="12"/>
    </row>
    <row r="34" spans="2:16" collapsed="1" x14ac:dyDescent="0.4"/>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V80"/>
  <sheetViews>
    <sheetView topLeftCell="A31" zoomScale="60" zoomScaleNormal="60" workbookViewId="0">
      <selection activeCell="N36" sqref="N36"/>
    </sheetView>
  </sheetViews>
  <sheetFormatPr defaultRowHeight="15.75" outlineLevelRow="1" outlineLevelCol="1" x14ac:dyDescent="0.4"/>
  <cols>
    <col min="1" max="1" width="29.875" style="107" customWidth="1"/>
    <col min="2" max="2" width="7.75" style="107" customWidth="1"/>
    <col min="3" max="3" width="22.5" style="107" customWidth="1"/>
    <col min="4" max="4" width="9" style="107" hidden="1" customWidth="1"/>
    <col min="5" max="5" width="35.375" style="107" hidden="1" customWidth="1"/>
    <col min="6" max="6" width="50.625" style="107" hidden="1" customWidth="1" outlineLevel="1"/>
    <col min="7" max="7" width="50.625" style="107" customWidth="1" collapsed="1"/>
    <col min="8" max="8" width="50.25" style="107" hidden="1" customWidth="1"/>
    <col min="9" max="9" width="11.25" style="110" bestFit="1" customWidth="1"/>
    <col min="10" max="11" width="8.625" style="107" customWidth="1"/>
    <col min="12" max="12" width="8.625" style="107" bestFit="1" customWidth="1"/>
    <col min="13" max="16" width="9.125" style="107" customWidth="1"/>
    <col min="17" max="17" width="8" style="109" customWidth="1"/>
    <col min="18" max="18" width="7.25" style="107" customWidth="1"/>
    <col min="19" max="19" width="9.5" style="107" customWidth="1"/>
    <col min="20" max="20" width="6.625" style="107" customWidth="1"/>
    <col min="21" max="22" width="8.375" style="107" customWidth="1"/>
    <col min="23" max="16384" width="9" style="107"/>
  </cols>
  <sheetData>
    <row r="1" spans="1:22" x14ac:dyDescent="0.4">
      <c r="F1" s="107" t="s">
        <v>447</v>
      </c>
      <c r="I1" s="108" t="s">
        <v>393</v>
      </c>
      <c r="K1" s="107">
        <v>0</v>
      </c>
      <c r="L1" s="107">
        <v>1</v>
      </c>
      <c r="M1" s="107">
        <v>2</v>
      </c>
      <c r="N1" s="107">
        <v>3</v>
      </c>
      <c r="O1" s="107">
        <v>4</v>
      </c>
      <c r="P1" s="107">
        <v>5</v>
      </c>
    </row>
    <row r="2" spans="1:22" hidden="1" outlineLevel="1" x14ac:dyDescent="0.4">
      <c r="F2" s="109" t="s">
        <v>436</v>
      </c>
      <c r="G2" s="109" t="s">
        <v>437</v>
      </c>
      <c r="H2" s="107" t="s">
        <v>202</v>
      </c>
      <c r="I2" s="110" t="s">
        <v>203</v>
      </c>
      <c r="M2" s="111" t="s">
        <v>204</v>
      </c>
      <c r="N2" s="111"/>
      <c r="O2" s="111"/>
      <c r="P2" s="111"/>
      <c r="R2" s="107" t="s">
        <v>205</v>
      </c>
      <c r="U2" s="112" t="s">
        <v>206</v>
      </c>
      <c r="V2" s="107" t="s">
        <v>207</v>
      </c>
    </row>
    <row r="3" spans="1:22" hidden="1" outlineLevel="1" x14ac:dyDescent="0.4">
      <c r="A3" s="107" t="s">
        <v>16</v>
      </c>
      <c r="B3" s="107" t="s">
        <v>208</v>
      </c>
      <c r="C3" s="107" t="s">
        <v>209</v>
      </c>
      <c r="F3" s="107" t="s">
        <v>210</v>
      </c>
      <c r="G3" s="113" t="s">
        <v>438</v>
      </c>
      <c r="M3" s="111" t="s">
        <v>211</v>
      </c>
      <c r="N3" s="111" t="s">
        <v>212</v>
      </c>
      <c r="O3" s="111" t="s">
        <v>213</v>
      </c>
      <c r="P3" s="111" t="s">
        <v>214</v>
      </c>
      <c r="R3" s="107">
        <f>IF(S7,5,IF(S6,4,IF(S5,3,IF(S4,2,1))))</f>
        <v>5</v>
      </c>
      <c r="U3" s="114" t="s">
        <v>215</v>
      </c>
      <c r="V3" s="107" t="s">
        <v>216</v>
      </c>
    </row>
    <row r="4" spans="1:22" hidden="1" outlineLevel="1" x14ac:dyDescent="0.4">
      <c r="A4" s="115" t="s">
        <v>217</v>
      </c>
      <c r="B4" s="116" t="s">
        <v>218</v>
      </c>
      <c r="C4" s="107" t="s">
        <v>219</v>
      </c>
      <c r="D4" s="107" t="s">
        <v>220</v>
      </c>
      <c r="E4" s="117" t="s">
        <v>221</v>
      </c>
      <c r="F4" s="118" t="s">
        <v>222</v>
      </c>
      <c r="G4" s="113" t="s">
        <v>222</v>
      </c>
      <c r="H4" s="119">
        <v>0.5</v>
      </c>
      <c r="I4" s="120">
        <v>0.878</v>
      </c>
      <c r="M4" s="121">
        <f>IF(I4&gt;=0.001,1,0)</f>
        <v>1</v>
      </c>
      <c r="N4" s="122">
        <f>IF(I4&gt;=0.03,1,0)</f>
        <v>1</v>
      </c>
      <c r="O4" s="122">
        <f>IF(I4&gt;=0.06,1,0)</f>
        <v>1</v>
      </c>
      <c r="P4" s="123">
        <f>IF(I4&gt;=0.26,1,0)</f>
        <v>1</v>
      </c>
      <c r="R4" s="124" t="s">
        <v>223</v>
      </c>
      <c r="S4" s="107" t="b">
        <f>SUM(O4,N5,M6,N4,M5)&gt;0</f>
        <v>1</v>
      </c>
      <c r="U4" s="113" t="s">
        <v>224</v>
      </c>
      <c r="V4" s="107" t="s">
        <v>225</v>
      </c>
    </row>
    <row r="5" spans="1:22" hidden="1" outlineLevel="1" x14ac:dyDescent="0.4">
      <c r="C5" s="107" t="s">
        <v>219</v>
      </c>
      <c r="D5" s="107" t="s">
        <v>220</v>
      </c>
      <c r="E5" s="117" t="s">
        <v>226</v>
      </c>
      <c r="F5" s="118" t="s">
        <v>222</v>
      </c>
      <c r="G5" s="113" t="s">
        <v>222</v>
      </c>
      <c r="H5" s="119"/>
      <c r="I5" s="120">
        <v>0.68200000000000005</v>
      </c>
      <c r="M5" s="122">
        <f>IF(I5&gt;=0.001,1,0)</f>
        <v>1</v>
      </c>
      <c r="N5" s="122">
        <f>IF(I5&gt;=0.03,1,0)</f>
        <v>1</v>
      </c>
      <c r="O5" s="123">
        <f>IF(I5&gt;=0.06,1,0)</f>
        <v>1</v>
      </c>
      <c r="P5" s="125">
        <f>IF(I5&gt;=0.26,1,0)</f>
        <v>1</v>
      </c>
      <c r="R5" s="113" t="s">
        <v>224</v>
      </c>
      <c r="S5" s="107" t="b">
        <f>SUM(P4,O5,N6,M7)&gt;0</f>
        <v>1</v>
      </c>
      <c r="U5" s="124" t="s">
        <v>223</v>
      </c>
      <c r="V5" s="107" t="s">
        <v>227</v>
      </c>
    </row>
    <row r="6" spans="1:22" hidden="1" outlineLevel="1" x14ac:dyDescent="0.4">
      <c r="C6" s="107" t="s">
        <v>219</v>
      </c>
      <c r="D6" s="107" t="s">
        <v>220</v>
      </c>
      <c r="E6" s="117" t="s">
        <v>228</v>
      </c>
      <c r="F6" s="118" t="s">
        <v>222</v>
      </c>
      <c r="G6" s="113" t="s">
        <v>222</v>
      </c>
      <c r="H6" s="119"/>
      <c r="I6" s="120">
        <v>0.318</v>
      </c>
      <c r="M6" s="122">
        <f>IF(I6&gt;=0.001,1,0)</f>
        <v>1</v>
      </c>
      <c r="N6" s="123">
        <f>IF(I6&gt;=0.03,1,0)</f>
        <v>1</v>
      </c>
      <c r="O6" s="125">
        <f>IF(I6&gt;=0.06,1,0)</f>
        <v>1</v>
      </c>
      <c r="P6" s="126">
        <f>IF(I6&gt;=0.26,1,0)</f>
        <v>1</v>
      </c>
      <c r="R6" s="114" t="s">
        <v>215</v>
      </c>
      <c r="S6" s="107" t="b">
        <f>SUM(P5,O6,N7)&gt;0</f>
        <v>1</v>
      </c>
      <c r="U6" s="117" t="s">
        <v>229</v>
      </c>
      <c r="V6" s="107" t="s">
        <v>230</v>
      </c>
    </row>
    <row r="7" spans="1:22" hidden="1" outlineLevel="1" x14ac:dyDescent="0.4">
      <c r="C7" s="107" t="s">
        <v>219</v>
      </c>
      <c r="D7" s="107" t="s">
        <v>220</v>
      </c>
      <c r="E7" s="117" t="s">
        <v>231</v>
      </c>
      <c r="F7" s="113" t="s">
        <v>222</v>
      </c>
      <c r="G7" s="113" t="s">
        <v>222</v>
      </c>
      <c r="H7" s="119"/>
      <c r="I7" s="120">
        <v>4.4999999999999998E-2</v>
      </c>
      <c r="M7" s="123">
        <f>IF(I7&gt;=0.001,1,0)</f>
        <v>1</v>
      </c>
      <c r="N7" s="125">
        <f>IF(I7&gt;=0.03,1,0)</f>
        <v>1</v>
      </c>
      <c r="O7" s="126">
        <f>IF(I7&gt;=0.06,1,0)</f>
        <v>0</v>
      </c>
      <c r="P7" s="126">
        <f>IF(I7&gt;=0.26,1,0)</f>
        <v>0</v>
      </c>
      <c r="R7" s="112" t="s">
        <v>206</v>
      </c>
      <c r="S7" s="107" t="b">
        <f>SUM(P7,P6,O7)&gt;0</f>
        <v>1</v>
      </c>
    </row>
    <row r="8" spans="1:22" hidden="1" outlineLevel="1" x14ac:dyDescent="0.4">
      <c r="E8" s="117"/>
    </row>
    <row r="9" spans="1:22" hidden="1" outlineLevel="1" x14ac:dyDescent="0.4">
      <c r="B9" s="116"/>
      <c r="E9" s="117"/>
      <c r="H9" s="119"/>
      <c r="I9" s="127"/>
      <c r="L9" s="107" t="s">
        <v>232</v>
      </c>
      <c r="M9" s="107" t="s">
        <v>233</v>
      </c>
      <c r="N9" s="107" t="s">
        <v>234</v>
      </c>
      <c r="O9" s="107" t="s">
        <v>235</v>
      </c>
      <c r="P9" s="107" t="s">
        <v>236</v>
      </c>
      <c r="R9" s="117"/>
    </row>
    <row r="10" spans="1:22" hidden="1" outlineLevel="1" x14ac:dyDescent="0.4">
      <c r="B10" s="116" t="s">
        <v>237</v>
      </c>
      <c r="C10" s="107" t="s">
        <v>219</v>
      </c>
      <c r="D10" s="107" t="s">
        <v>238</v>
      </c>
      <c r="E10" s="117" t="s">
        <v>239</v>
      </c>
      <c r="F10" s="118" t="s">
        <v>222</v>
      </c>
      <c r="G10" s="118"/>
      <c r="H10" s="119">
        <v>0.15</v>
      </c>
      <c r="I10" s="128" t="s">
        <v>236</v>
      </c>
      <c r="L10" s="121">
        <f>IF(SUM(M10:P10)=0,1,0)</f>
        <v>0</v>
      </c>
      <c r="M10" s="122">
        <f>IF($I10=M$9,1,0)</f>
        <v>0</v>
      </c>
      <c r="N10" s="123">
        <f t="shared" ref="N10:O10" si="0">IF($I10=N$9,1,0)</f>
        <v>0</v>
      </c>
      <c r="O10" s="125">
        <f t="shared" si="0"/>
        <v>0</v>
      </c>
      <c r="P10" s="126">
        <f>IF(OR($I10=P$9,$I10=7),1,0)</f>
        <v>1</v>
      </c>
      <c r="Q10" s="129" t="str">
        <f>IF(SUM(L10:P10)&gt;1,"Error!","")</f>
        <v/>
      </c>
      <c r="R10" s="107">
        <f>SUMPRODUCT(L10:P10,L$1:P$1)</f>
        <v>5</v>
      </c>
    </row>
    <row r="11" spans="1:22" hidden="1" outlineLevel="1" x14ac:dyDescent="0.4">
      <c r="B11" s="116"/>
      <c r="E11" s="117"/>
      <c r="H11" s="119"/>
      <c r="I11" s="130"/>
      <c r="L11" s="111" t="s">
        <v>240</v>
      </c>
      <c r="M11" s="111" t="s">
        <v>241</v>
      </c>
      <c r="N11" s="111" t="s">
        <v>242</v>
      </c>
      <c r="O11" s="111" t="s">
        <v>243</v>
      </c>
      <c r="P11" s="111" t="s">
        <v>244</v>
      </c>
    </row>
    <row r="12" spans="1:22" hidden="1" outlineLevel="1" x14ac:dyDescent="0.4">
      <c r="B12" s="116" t="s">
        <v>245</v>
      </c>
      <c r="C12" s="107" t="s">
        <v>219</v>
      </c>
      <c r="D12" s="107" t="s">
        <v>246</v>
      </c>
      <c r="E12" s="117" t="s">
        <v>247</v>
      </c>
      <c r="F12" s="118" t="s">
        <v>222</v>
      </c>
      <c r="G12" s="113" t="s">
        <v>439</v>
      </c>
      <c r="H12" s="119">
        <v>0.15</v>
      </c>
      <c r="I12" s="128">
        <v>1.18</v>
      </c>
      <c r="L12" s="121">
        <f>IF(SUM(M12:P12)=0,1,0)</f>
        <v>0</v>
      </c>
      <c r="M12" s="122">
        <f>IF(AND($I12&gt;=1,$I12&lt;1.4),1,0)</f>
        <v>1</v>
      </c>
      <c r="N12" s="123">
        <f>IF(AND($I12&gt;=1.4,$I12&lt;1.6),1,0)</f>
        <v>0</v>
      </c>
      <c r="O12" s="125">
        <f>IF(AND($I12&gt;=1.6,$I12&lt;2),1,0)</f>
        <v>0</v>
      </c>
      <c r="P12" s="126">
        <f>IF($I12&gt;=2,1,0)</f>
        <v>0</v>
      </c>
      <c r="Q12" s="129" t="str">
        <f>IF(SUM(L12:P12)&gt;1,"Error!","")</f>
        <v/>
      </c>
      <c r="R12" s="107">
        <f>SUMPRODUCT(L12:P12,L$1:P$1)</f>
        <v>2</v>
      </c>
    </row>
    <row r="13" spans="1:22" hidden="1" outlineLevel="1" x14ac:dyDescent="0.4">
      <c r="B13" s="116"/>
      <c r="E13" s="117"/>
      <c r="F13" s="109"/>
      <c r="G13" s="109"/>
      <c r="H13" s="119"/>
      <c r="I13" s="130"/>
      <c r="L13" s="121" t="s">
        <v>248</v>
      </c>
      <c r="M13" s="121" t="s">
        <v>230</v>
      </c>
      <c r="N13" s="121" t="s">
        <v>216</v>
      </c>
      <c r="P13" s="121" t="s">
        <v>207</v>
      </c>
    </row>
    <row r="14" spans="1:22" hidden="1" outlineLevel="1" x14ac:dyDescent="0.4">
      <c r="B14" s="116" t="s">
        <v>249</v>
      </c>
      <c r="C14" s="107" t="s">
        <v>250</v>
      </c>
      <c r="D14" s="107" t="s">
        <v>220</v>
      </c>
      <c r="E14" s="117" t="s">
        <v>251</v>
      </c>
      <c r="F14" s="113" t="s">
        <v>433</v>
      </c>
      <c r="G14" s="113" t="s">
        <v>434</v>
      </c>
      <c r="H14" s="119">
        <v>0.1</v>
      </c>
      <c r="K14" s="131" t="s">
        <v>252</v>
      </c>
      <c r="L14" s="132">
        <v>1</v>
      </c>
      <c r="M14" s="133">
        <f>IF($I14=M$13,1,0)</f>
        <v>0</v>
      </c>
      <c r="N14" s="134">
        <f>IF($I14=N$13,1,0)</f>
        <v>0</v>
      </c>
      <c r="O14" s="125"/>
      <c r="P14" s="135">
        <f>IF($I14=P$13,1,0)</f>
        <v>0</v>
      </c>
      <c r="Q14" s="129" t="str">
        <f>IF(SUM(L14:P14)&gt;1,"Error!","")</f>
        <v/>
      </c>
      <c r="R14" s="107">
        <f>IF(P14=1,5,SUMPRODUCT(L14:P14,L$1:P$1)+L15)</f>
        <v>1</v>
      </c>
    </row>
    <row r="15" spans="1:22" hidden="1" outlineLevel="1" x14ac:dyDescent="0.4">
      <c r="B15" s="116" t="s">
        <v>253</v>
      </c>
      <c r="D15" s="107" t="s">
        <v>254</v>
      </c>
      <c r="E15" s="117" t="s">
        <v>255</v>
      </c>
      <c r="F15" s="118"/>
      <c r="G15" s="113" t="s">
        <v>435</v>
      </c>
      <c r="H15" s="119" t="s">
        <v>257</v>
      </c>
      <c r="K15" s="131" t="s">
        <v>258</v>
      </c>
      <c r="L15" s="132">
        <v>0</v>
      </c>
    </row>
    <row r="16" spans="1:22" hidden="1" outlineLevel="1" x14ac:dyDescent="0.4">
      <c r="B16" s="116"/>
      <c r="E16" s="117"/>
      <c r="H16" s="119"/>
      <c r="K16" s="131"/>
      <c r="L16" s="132"/>
    </row>
    <row r="17" spans="1:21" hidden="1" outlineLevel="1" x14ac:dyDescent="0.4">
      <c r="B17" s="116"/>
      <c r="E17" s="117"/>
      <c r="H17" s="119"/>
      <c r="I17" s="121"/>
      <c r="L17" s="107" t="s">
        <v>410</v>
      </c>
      <c r="M17" s="121" t="s">
        <v>259</v>
      </c>
      <c r="N17" s="121" t="s">
        <v>260</v>
      </c>
      <c r="O17" s="121"/>
      <c r="P17" s="121" t="s">
        <v>261</v>
      </c>
    </row>
    <row r="18" spans="1:21" s="118" customFormat="1" hidden="1" outlineLevel="1" x14ac:dyDescent="0.4">
      <c r="B18" s="136" t="s">
        <v>262</v>
      </c>
      <c r="C18" s="118" t="s">
        <v>250</v>
      </c>
      <c r="D18" s="118" t="s">
        <v>238</v>
      </c>
      <c r="E18" s="118" t="s">
        <v>263</v>
      </c>
      <c r="F18" s="118" t="s">
        <v>264</v>
      </c>
      <c r="H18" s="137" t="s">
        <v>265</v>
      </c>
      <c r="I18" s="138"/>
      <c r="K18" s="137" t="s">
        <v>252</v>
      </c>
      <c r="L18" s="139">
        <v>0</v>
      </c>
      <c r="M18" s="139">
        <v>0</v>
      </c>
      <c r="N18" s="139">
        <v>0</v>
      </c>
      <c r="O18" s="140"/>
      <c r="P18" s="139">
        <v>0</v>
      </c>
      <c r="Q18" s="141" t="str">
        <f>IF(SUM(L18:P18)&gt;1,"Error!","")</f>
        <v/>
      </c>
      <c r="R18" s="118">
        <f>SUMPRODUCT(L18:P18,K$1:O$1)</f>
        <v>0</v>
      </c>
    </row>
    <row r="19" spans="1:21" hidden="1" outlineLevel="1" x14ac:dyDescent="0.4">
      <c r="E19" s="117"/>
    </row>
    <row r="20" spans="1:21" hidden="1" outlineLevel="1" x14ac:dyDescent="0.4">
      <c r="E20" s="117"/>
      <c r="F20" s="109" t="s">
        <v>436</v>
      </c>
      <c r="G20" s="109" t="s">
        <v>437</v>
      </c>
      <c r="K20" s="131" t="s">
        <v>266</v>
      </c>
      <c r="L20" s="107" t="s">
        <v>267</v>
      </c>
      <c r="M20" s="107" t="s">
        <v>268</v>
      </c>
      <c r="N20" s="107" t="s">
        <v>269</v>
      </c>
      <c r="O20" s="107" t="s">
        <v>270</v>
      </c>
      <c r="P20" s="107" t="s">
        <v>271</v>
      </c>
    </row>
    <row r="21" spans="1:21" hidden="1" outlineLevel="1" x14ac:dyDescent="0.4">
      <c r="A21" s="115" t="s">
        <v>8</v>
      </c>
      <c r="B21" s="116" t="s">
        <v>272</v>
      </c>
      <c r="C21" s="107" t="s">
        <v>43</v>
      </c>
      <c r="D21" s="107" t="s">
        <v>238</v>
      </c>
      <c r="E21" s="117" t="s">
        <v>273</v>
      </c>
      <c r="F21" s="113" t="s">
        <v>440</v>
      </c>
      <c r="G21" s="113" t="s">
        <v>434</v>
      </c>
      <c r="H21" s="119">
        <v>1</v>
      </c>
      <c r="J21" s="131" t="s">
        <v>252</v>
      </c>
      <c r="K21" s="132">
        <v>0</v>
      </c>
      <c r="L21" s="132">
        <v>0</v>
      </c>
      <c r="M21" s="133">
        <v>0</v>
      </c>
      <c r="N21" s="134">
        <v>1</v>
      </c>
      <c r="O21" s="142">
        <v>0</v>
      </c>
      <c r="P21" s="135">
        <v>0</v>
      </c>
      <c r="Q21" s="129" t="str">
        <f>IF(SUM(K21:P21)&gt;1,"Error!","")</f>
        <v/>
      </c>
      <c r="R21" s="107">
        <f>IF(P21=1,5,SUMPRODUCT(K21:O21,K$1:O$1)+K22)</f>
        <v>3</v>
      </c>
    </row>
    <row r="22" spans="1:21" hidden="1" outlineLevel="1" x14ac:dyDescent="0.4">
      <c r="B22" s="116" t="s">
        <v>274</v>
      </c>
      <c r="D22" s="107" t="s">
        <v>254</v>
      </c>
      <c r="E22" s="117" t="s">
        <v>255</v>
      </c>
      <c r="F22" s="118"/>
      <c r="G22" s="113" t="s">
        <v>441</v>
      </c>
      <c r="H22" s="119" t="s">
        <v>257</v>
      </c>
      <c r="J22" s="131" t="s">
        <v>258</v>
      </c>
      <c r="K22" s="132">
        <v>0</v>
      </c>
    </row>
    <row r="23" spans="1:21" hidden="1" outlineLevel="1" x14ac:dyDescent="0.4">
      <c r="E23" s="117"/>
    </row>
    <row r="24" spans="1:21" hidden="1" outlineLevel="1" x14ac:dyDescent="0.4">
      <c r="A24" s="166"/>
      <c r="B24" s="166"/>
      <c r="C24" s="166"/>
      <c r="D24" s="166"/>
      <c r="E24" s="167"/>
      <c r="F24" s="166"/>
      <c r="G24" s="166"/>
      <c r="H24" s="166"/>
      <c r="I24" s="168"/>
      <c r="J24" s="166"/>
      <c r="K24" s="166"/>
      <c r="L24" s="166"/>
      <c r="M24" s="166" t="s">
        <v>275</v>
      </c>
      <c r="N24" s="166"/>
      <c r="O24" s="166"/>
      <c r="P24" s="166"/>
      <c r="Q24" s="169"/>
      <c r="R24" s="166"/>
      <c r="S24" s="166"/>
      <c r="T24" s="166"/>
      <c r="U24" s="170"/>
    </row>
    <row r="25" spans="1:21" collapsed="1" x14ac:dyDescent="0.25">
      <c r="A25" s="151"/>
      <c r="B25" s="151"/>
      <c r="C25" s="151"/>
      <c r="D25" s="151"/>
      <c r="E25" s="152"/>
      <c r="F25" s="153" t="s">
        <v>436</v>
      </c>
      <c r="G25" s="153"/>
      <c r="H25" s="151"/>
      <c r="I25" s="154"/>
      <c r="J25" s="151"/>
      <c r="K25" s="151"/>
      <c r="L25" s="151"/>
      <c r="M25" s="155" t="s">
        <v>276</v>
      </c>
      <c r="N25" s="155" t="s">
        <v>277</v>
      </c>
      <c r="O25" s="155" t="s">
        <v>278</v>
      </c>
      <c r="P25" s="155" t="s">
        <v>279</v>
      </c>
      <c r="Q25" s="153"/>
      <c r="R25" s="151" t="s">
        <v>280</v>
      </c>
      <c r="S25" s="151"/>
      <c r="T25" s="151"/>
      <c r="U25" s="171"/>
    </row>
    <row r="26" spans="1:21" x14ac:dyDescent="0.25">
      <c r="A26" s="156" t="s">
        <v>1</v>
      </c>
      <c r="B26" s="151" t="s">
        <v>281</v>
      </c>
      <c r="C26" s="151" t="s">
        <v>569</v>
      </c>
      <c r="D26" s="151" t="s">
        <v>282</v>
      </c>
      <c r="E26" s="152" t="s">
        <v>283</v>
      </c>
      <c r="F26" s="157" t="s">
        <v>284</v>
      </c>
      <c r="G26" s="152" t="s">
        <v>284</v>
      </c>
      <c r="H26" s="209">
        <v>0.5</v>
      </c>
      <c r="I26" s="159" t="s">
        <v>285</v>
      </c>
      <c r="J26" s="154" t="s">
        <v>394</v>
      </c>
      <c r="K26" s="154" t="s">
        <v>394</v>
      </c>
      <c r="L26" s="154" t="s">
        <v>394</v>
      </c>
      <c r="M26" s="210">
        <v>9</v>
      </c>
      <c r="N26" s="210">
        <v>1</v>
      </c>
      <c r="O26" s="210">
        <v>0</v>
      </c>
      <c r="P26" s="210">
        <v>0</v>
      </c>
      <c r="Q26" s="153"/>
      <c r="R26" s="151">
        <f>IF(S30,5,IF(S29,4,IF(S28,3,IF(S27,2,1))))</f>
        <v>3</v>
      </c>
      <c r="S26" s="151"/>
      <c r="T26" s="151"/>
      <c r="U26" s="171"/>
    </row>
    <row r="27" spans="1:21" x14ac:dyDescent="0.25">
      <c r="A27" s="151"/>
      <c r="B27" s="151"/>
      <c r="C27" s="151"/>
      <c r="D27" s="151" t="s">
        <v>282</v>
      </c>
      <c r="E27" s="152" t="s">
        <v>286</v>
      </c>
      <c r="F27" s="158" t="s">
        <v>284</v>
      </c>
      <c r="G27" s="151"/>
      <c r="H27" s="155"/>
      <c r="I27" s="154"/>
      <c r="J27" s="151"/>
      <c r="K27" s="151"/>
      <c r="L27" s="159" t="s">
        <v>287</v>
      </c>
      <c r="M27" s="121">
        <f>IF(M26&gt;0,1,0)</f>
        <v>1</v>
      </c>
      <c r="N27" s="123">
        <f t="shared" ref="N27:P27" si="1">IF(N26&gt;0,1,0)</f>
        <v>1</v>
      </c>
      <c r="O27" s="125">
        <f t="shared" si="1"/>
        <v>0</v>
      </c>
      <c r="P27" s="126">
        <f t="shared" si="1"/>
        <v>0</v>
      </c>
      <c r="Q27" s="160"/>
      <c r="R27" s="161" t="s">
        <v>223</v>
      </c>
      <c r="S27" s="151" t="b">
        <f>SUM(M29)&gt;0</f>
        <v>0</v>
      </c>
      <c r="T27" s="151"/>
      <c r="U27" s="171"/>
    </row>
    <row r="28" spans="1:21" x14ac:dyDescent="0.25">
      <c r="A28" s="151"/>
      <c r="B28" s="151"/>
      <c r="C28" s="151"/>
      <c r="D28" s="151" t="s">
        <v>288</v>
      </c>
      <c r="E28" s="152" t="s">
        <v>289</v>
      </c>
      <c r="F28" s="157" t="s">
        <v>284</v>
      </c>
      <c r="G28" s="151"/>
      <c r="H28" s="155"/>
      <c r="I28" s="154"/>
      <c r="J28" s="151"/>
      <c r="K28" s="151"/>
      <c r="L28" s="159" t="s">
        <v>386</v>
      </c>
      <c r="M28" s="155">
        <v>18.7</v>
      </c>
      <c r="N28" s="155">
        <v>1</v>
      </c>
      <c r="O28" s="155">
        <v>0.1</v>
      </c>
      <c r="P28" s="155">
        <v>0</v>
      </c>
      <c r="Q28" s="153"/>
      <c r="R28" s="158" t="s">
        <v>224</v>
      </c>
      <c r="S28" s="151" t="b">
        <f>SUM(N27,N29,M31)&gt;0</f>
        <v>1</v>
      </c>
      <c r="T28" s="151"/>
      <c r="U28" s="171"/>
    </row>
    <row r="29" spans="1:21" x14ac:dyDescent="0.25">
      <c r="A29" s="151"/>
      <c r="B29" s="151"/>
      <c r="C29" s="151"/>
      <c r="D29" s="151" t="s">
        <v>291</v>
      </c>
      <c r="E29" s="152" t="s">
        <v>292</v>
      </c>
      <c r="F29" s="157" t="s">
        <v>284</v>
      </c>
      <c r="G29" s="151"/>
      <c r="H29" s="155"/>
      <c r="I29" s="154"/>
      <c r="J29" s="151"/>
      <c r="K29" s="151"/>
      <c r="L29" s="159" t="s">
        <v>290</v>
      </c>
      <c r="M29" s="122">
        <f>IF(M26&gt;M28,1,0)</f>
        <v>0</v>
      </c>
      <c r="N29" s="123">
        <f t="shared" ref="N29:P29" si="2">IF(N26&gt;N28,1,0)</f>
        <v>0</v>
      </c>
      <c r="O29" s="125">
        <f t="shared" si="2"/>
        <v>0</v>
      </c>
      <c r="P29" s="126">
        <f t="shared" si="2"/>
        <v>0</v>
      </c>
      <c r="Q29" s="160"/>
      <c r="R29" s="162" t="s">
        <v>215</v>
      </c>
      <c r="S29" s="151" t="b">
        <f>SUM(O27,O29,N31)&gt;0</f>
        <v>0</v>
      </c>
      <c r="T29" s="151"/>
      <c r="U29" s="171"/>
    </row>
    <row r="30" spans="1:21" x14ac:dyDescent="0.4">
      <c r="A30" s="151"/>
      <c r="B30" s="151"/>
      <c r="C30" s="151"/>
      <c r="D30" s="151"/>
      <c r="E30" s="152"/>
      <c r="F30" s="151"/>
      <c r="G30" s="151"/>
      <c r="H30" s="163"/>
      <c r="I30" s="154"/>
      <c r="J30" s="151"/>
      <c r="K30" s="151"/>
      <c r="L30" s="159" t="s">
        <v>293</v>
      </c>
      <c r="M30" s="151">
        <v>34.9</v>
      </c>
      <c r="N30" s="151">
        <v>2</v>
      </c>
      <c r="O30" s="151">
        <v>0.2</v>
      </c>
      <c r="P30" s="151">
        <v>0</v>
      </c>
      <c r="Q30" s="153"/>
      <c r="R30" s="164" t="s">
        <v>206</v>
      </c>
      <c r="S30" s="151" t="b">
        <f>SUM(P27,P29,P31,O31)&gt;0</f>
        <v>0</v>
      </c>
      <c r="T30" s="151"/>
      <c r="U30" s="171"/>
    </row>
    <row r="31" spans="1:21" x14ac:dyDescent="0.4">
      <c r="A31" s="151"/>
      <c r="B31" s="151"/>
      <c r="C31" s="151"/>
      <c r="D31" s="151"/>
      <c r="E31" s="152"/>
      <c r="F31" s="151"/>
      <c r="G31" s="151"/>
      <c r="H31" s="151"/>
      <c r="I31" s="154"/>
      <c r="J31" s="151"/>
      <c r="K31" s="151"/>
      <c r="L31" s="159" t="s">
        <v>290</v>
      </c>
      <c r="M31" s="123">
        <f>IF(M26&gt;M30,1,0)</f>
        <v>0</v>
      </c>
      <c r="N31" s="125">
        <f>IF(N26&gt;N30,1,0)</f>
        <v>0</v>
      </c>
      <c r="O31" s="126">
        <f>IF(O26&gt;O30,1,0)</f>
        <v>0</v>
      </c>
      <c r="P31" s="126">
        <f>IF(P26&gt;P30,1,0)</f>
        <v>0</v>
      </c>
      <c r="Q31" s="160"/>
      <c r="R31" s="151"/>
      <c r="S31" s="151"/>
      <c r="T31" s="151"/>
      <c r="U31" s="171"/>
    </row>
    <row r="32" spans="1:21" x14ac:dyDescent="0.4">
      <c r="A32" s="151"/>
      <c r="B32" s="151"/>
      <c r="C32" s="151"/>
      <c r="D32" s="151"/>
      <c r="E32" s="152"/>
      <c r="F32" s="151"/>
      <c r="G32" s="151"/>
      <c r="H32" s="151"/>
      <c r="I32" s="154"/>
      <c r="J32" s="151"/>
      <c r="K32" s="151"/>
      <c r="L32" s="151"/>
      <c r="M32" s="151"/>
      <c r="N32" s="151"/>
      <c r="O32" s="151"/>
      <c r="P32" s="151"/>
      <c r="Q32" s="153"/>
      <c r="R32" s="151"/>
      <c r="S32" s="151"/>
      <c r="T32" s="151"/>
      <c r="U32" s="171"/>
    </row>
    <row r="33" spans="1:21" x14ac:dyDescent="0.4">
      <c r="A33" s="151"/>
      <c r="B33" s="151"/>
      <c r="C33" s="151"/>
      <c r="D33" s="151"/>
      <c r="E33" s="152"/>
      <c r="F33" s="151"/>
      <c r="G33" s="151"/>
      <c r="H33" s="151"/>
      <c r="I33" s="154"/>
      <c r="J33" s="151"/>
      <c r="K33" s="151"/>
      <c r="L33" s="151" t="s">
        <v>294</v>
      </c>
      <c r="M33" s="151" t="s">
        <v>295</v>
      </c>
      <c r="N33" s="151" t="s">
        <v>296</v>
      </c>
      <c r="O33" s="151" t="s">
        <v>297</v>
      </c>
      <c r="P33" s="151" t="s">
        <v>298</v>
      </c>
      <c r="Q33" s="153"/>
      <c r="R33" s="151"/>
      <c r="S33" s="151"/>
      <c r="T33" s="151"/>
      <c r="U33" s="171"/>
    </row>
    <row r="34" spans="1:21" x14ac:dyDescent="0.4">
      <c r="A34" s="151"/>
      <c r="B34" s="151" t="s">
        <v>299</v>
      </c>
      <c r="C34" s="152" t="s">
        <v>570</v>
      </c>
      <c r="D34" s="151" t="s">
        <v>288</v>
      </c>
      <c r="E34" s="152" t="s">
        <v>300</v>
      </c>
      <c r="F34" s="151"/>
      <c r="G34" s="152" t="s">
        <v>284</v>
      </c>
      <c r="H34" s="208">
        <v>0.15</v>
      </c>
      <c r="I34" s="211">
        <v>23.7</v>
      </c>
      <c r="J34" s="151"/>
      <c r="K34" s="151"/>
      <c r="L34" s="121">
        <f>IF(SUM(M34:P34)=0,1,0)</f>
        <v>0</v>
      </c>
      <c r="M34" s="122">
        <f>IF(AND($I34&gt;=15,$I34&lt;20),1,0)</f>
        <v>0</v>
      </c>
      <c r="N34" s="123">
        <f>IF(AND($I34&gt;=20,$I34&lt;30),1,0)</f>
        <v>1</v>
      </c>
      <c r="O34" s="125">
        <f>IF(AND($I34&gt;=30,$I34&lt;40),1,0)</f>
        <v>0</v>
      </c>
      <c r="P34" s="126">
        <f>IF($I34&gt;=40,1,0)</f>
        <v>0</v>
      </c>
      <c r="Q34" s="160" t="str">
        <f>IF(SUM(L34:P34)&gt;1,"Error!","")</f>
        <v/>
      </c>
      <c r="R34" s="151">
        <f>SUMPRODUCT(L34:P34,L$1:P$1)</f>
        <v>3</v>
      </c>
      <c r="S34" s="151"/>
      <c r="T34" s="151"/>
      <c r="U34" s="171"/>
    </row>
    <row r="35" spans="1:21" x14ac:dyDescent="0.4">
      <c r="A35" s="151"/>
      <c r="B35" s="151"/>
      <c r="C35" s="152"/>
      <c r="D35" s="151"/>
      <c r="E35" s="152"/>
      <c r="F35" s="151"/>
      <c r="G35" s="151"/>
      <c r="H35" s="163"/>
      <c r="I35" s="154"/>
      <c r="J35" s="151"/>
      <c r="K35" s="151"/>
      <c r="L35" s="151" t="s">
        <v>301</v>
      </c>
      <c r="M35" s="151" t="s">
        <v>296</v>
      </c>
      <c r="N35" s="151" t="s">
        <v>297</v>
      </c>
      <c r="O35" s="151" t="s">
        <v>298</v>
      </c>
      <c r="P35" s="151" t="s">
        <v>302</v>
      </c>
      <c r="Q35" s="153"/>
      <c r="R35" s="151"/>
      <c r="S35" s="151"/>
      <c r="T35" s="151"/>
      <c r="U35" s="171"/>
    </row>
    <row r="36" spans="1:21" x14ac:dyDescent="0.4">
      <c r="A36" s="151"/>
      <c r="B36" s="151" t="s">
        <v>303</v>
      </c>
      <c r="C36" s="152" t="s">
        <v>571</v>
      </c>
      <c r="D36" s="151" t="s">
        <v>291</v>
      </c>
      <c r="E36" s="152" t="s">
        <v>300</v>
      </c>
      <c r="F36" s="151"/>
      <c r="G36" s="152" t="s">
        <v>284</v>
      </c>
      <c r="H36" s="208">
        <v>0.15</v>
      </c>
      <c r="I36" s="211">
        <v>38.1</v>
      </c>
      <c r="J36" s="151"/>
      <c r="K36" s="151"/>
      <c r="L36" s="121">
        <f>IF(SUM(M36:P36)=0,1,0)</f>
        <v>0</v>
      </c>
      <c r="M36" s="122">
        <f>IF(AND($I36&gt;=20,$I36&lt;30),1,0)</f>
        <v>0</v>
      </c>
      <c r="N36" s="123">
        <f>IF(AND($I36&gt;=30,$I36&lt;40),1,0)</f>
        <v>1</v>
      </c>
      <c r="O36" s="125">
        <f>IF(AND($I36&gt;=40,$I36&lt;50),1,0)</f>
        <v>0</v>
      </c>
      <c r="P36" s="126">
        <f>IF($I36&gt;=50,1,0)</f>
        <v>0</v>
      </c>
      <c r="Q36" s="160" t="str">
        <f>IF(SUM(L36:P36)&gt;1,"Error!","")</f>
        <v/>
      </c>
      <c r="R36" s="151">
        <f>SUMPRODUCT(L36:P36,L$1:P$1)</f>
        <v>3</v>
      </c>
      <c r="S36" s="151"/>
      <c r="T36" s="151"/>
      <c r="U36" s="171"/>
    </row>
    <row r="37" spans="1:21" x14ac:dyDescent="0.4">
      <c r="A37" s="151"/>
      <c r="B37" s="151"/>
      <c r="C37" s="151"/>
      <c r="D37" s="151"/>
      <c r="E37" s="152"/>
      <c r="F37" s="151"/>
      <c r="G37" s="151"/>
      <c r="H37" s="151"/>
      <c r="I37" s="154"/>
      <c r="J37" s="151"/>
      <c r="K37" s="151"/>
      <c r="L37" s="151" t="s">
        <v>304</v>
      </c>
      <c r="M37" s="151" t="s">
        <v>305</v>
      </c>
      <c r="N37" s="151" t="s">
        <v>306</v>
      </c>
      <c r="O37" s="151" t="s">
        <v>307</v>
      </c>
      <c r="P37" s="151" t="s">
        <v>298</v>
      </c>
      <c r="Q37" s="153"/>
      <c r="R37" s="151"/>
      <c r="S37" s="151"/>
      <c r="T37" s="151"/>
      <c r="U37" s="171"/>
    </row>
    <row r="38" spans="1:21" x14ac:dyDescent="0.4">
      <c r="A38" s="151"/>
      <c r="B38" s="151" t="s">
        <v>308</v>
      </c>
      <c r="C38" s="151" t="s">
        <v>309</v>
      </c>
      <c r="D38" s="151" t="s">
        <v>291</v>
      </c>
      <c r="E38" s="152" t="s">
        <v>310</v>
      </c>
      <c r="F38" s="151"/>
      <c r="G38" s="152" t="s">
        <v>564</v>
      </c>
      <c r="H38" s="208">
        <v>0.1</v>
      </c>
      <c r="I38" s="211">
        <v>34</v>
      </c>
      <c r="J38" s="151"/>
      <c r="K38" s="151"/>
      <c r="L38" s="121">
        <f>IF(SUM(M38:P38)=0,1,0)</f>
        <v>0</v>
      </c>
      <c r="M38" s="122">
        <f>IF(AND($I38&gt;=34,$I38&lt;36),1,0)</f>
        <v>1</v>
      </c>
      <c r="N38" s="123">
        <f>IF(AND($I38&gt;=36,$I38&lt;38),1,0)</f>
        <v>0</v>
      </c>
      <c r="O38" s="125">
        <f>IF(AND($I38&gt;=38,$I38&lt;40),1,0)</f>
        <v>0</v>
      </c>
      <c r="P38" s="126">
        <f>IF($I38&gt;=40,1,0)</f>
        <v>0</v>
      </c>
      <c r="Q38" s="160" t="str">
        <f>IF(SUM(L38:P38)&gt;1,"Error!","")</f>
        <v/>
      </c>
      <c r="R38" s="151">
        <f>SUMPRODUCT(L38:P38,L$1:P$1)</f>
        <v>2</v>
      </c>
      <c r="S38" s="151"/>
      <c r="T38" s="151"/>
      <c r="U38" s="171"/>
    </row>
    <row r="39" spans="1:21" x14ac:dyDescent="0.4">
      <c r="A39" s="151"/>
      <c r="B39" s="151"/>
      <c r="C39" s="151"/>
      <c r="D39" s="151"/>
      <c r="E39" s="152"/>
      <c r="F39" s="151"/>
      <c r="G39" s="151"/>
      <c r="H39" s="151"/>
      <c r="I39" s="154"/>
      <c r="J39" s="151"/>
      <c r="K39" s="151"/>
      <c r="L39" s="151"/>
      <c r="M39" s="151"/>
      <c r="N39" s="151"/>
      <c r="O39" s="151"/>
      <c r="P39" s="151"/>
      <c r="Q39" s="153"/>
      <c r="R39" s="151"/>
      <c r="S39" s="151"/>
      <c r="T39" s="151"/>
      <c r="U39" s="171"/>
    </row>
    <row r="40" spans="1:21" x14ac:dyDescent="0.4">
      <c r="A40" s="151"/>
      <c r="B40" s="151" t="s">
        <v>311</v>
      </c>
      <c r="C40" s="151" t="s">
        <v>566</v>
      </c>
      <c r="D40" s="157" t="s">
        <v>254</v>
      </c>
      <c r="E40" s="157" t="s">
        <v>255</v>
      </c>
      <c r="F40" s="157"/>
      <c r="G40" s="152" t="s">
        <v>435</v>
      </c>
      <c r="H40" s="163" t="s">
        <v>312</v>
      </c>
      <c r="I40" s="154"/>
      <c r="J40" s="151"/>
      <c r="K40" s="159" t="s">
        <v>258</v>
      </c>
      <c r="L40" s="212">
        <v>0</v>
      </c>
      <c r="M40" s="151"/>
      <c r="N40" s="151"/>
      <c r="O40" s="151"/>
      <c r="P40" s="151"/>
      <c r="Q40" s="153"/>
      <c r="R40" s="151">
        <f>IF(L40=1,5,0)</f>
        <v>0</v>
      </c>
      <c r="S40" s="151"/>
      <c r="T40" s="151"/>
      <c r="U40" s="171"/>
    </row>
    <row r="41" spans="1:21" x14ac:dyDescent="0.4">
      <c r="A41" s="151"/>
      <c r="B41" s="151"/>
      <c r="C41" s="151"/>
      <c r="D41" s="151"/>
      <c r="E41" s="152"/>
      <c r="F41" s="151"/>
      <c r="G41" s="151"/>
      <c r="H41" s="151"/>
      <c r="I41" s="154"/>
      <c r="J41" s="151"/>
      <c r="K41" s="151"/>
      <c r="L41" s="151"/>
      <c r="M41" s="151"/>
      <c r="N41" s="151"/>
      <c r="O41" s="151"/>
      <c r="P41" s="151"/>
      <c r="Q41" s="153"/>
      <c r="R41" s="151"/>
      <c r="S41" s="151"/>
      <c r="T41" s="151"/>
      <c r="U41" s="171"/>
    </row>
    <row r="42" spans="1:21" x14ac:dyDescent="0.4">
      <c r="A42" s="151"/>
      <c r="B42" s="151"/>
      <c r="C42" s="151"/>
      <c r="D42" s="151"/>
      <c r="E42" s="152"/>
      <c r="F42" s="153" t="s">
        <v>436</v>
      </c>
      <c r="G42" s="153"/>
      <c r="H42" s="151"/>
      <c r="I42" s="154"/>
      <c r="J42" s="151"/>
      <c r="K42" s="159" t="s">
        <v>266</v>
      </c>
      <c r="L42" s="151" t="s">
        <v>313</v>
      </c>
      <c r="M42" s="151" t="s">
        <v>314</v>
      </c>
      <c r="N42" s="151" t="s">
        <v>269</v>
      </c>
      <c r="O42" s="151" t="s">
        <v>315</v>
      </c>
      <c r="P42" s="151" t="s">
        <v>316</v>
      </c>
      <c r="Q42" s="153"/>
      <c r="R42" s="151"/>
      <c r="S42" s="151"/>
      <c r="T42" s="151"/>
      <c r="U42" s="171"/>
    </row>
    <row r="43" spans="1:21" x14ac:dyDescent="0.4">
      <c r="A43" s="156" t="s">
        <v>12</v>
      </c>
      <c r="B43" s="151" t="s">
        <v>317</v>
      </c>
      <c r="C43" s="151" t="s">
        <v>572</v>
      </c>
      <c r="D43" s="151" t="s">
        <v>318</v>
      </c>
      <c r="E43" s="152" t="s">
        <v>319</v>
      </c>
      <c r="F43" s="157"/>
      <c r="G43" s="152" t="s">
        <v>567</v>
      </c>
      <c r="H43" s="208">
        <v>0.15</v>
      </c>
      <c r="I43" s="154"/>
      <c r="J43" s="159" t="s">
        <v>252</v>
      </c>
      <c r="K43" s="132">
        <v>0</v>
      </c>
      <c r="L43" s="132">
        <v>0</v>
      </c>
      <c r="M43" s="133">
        <v>0</v>
      </c>
      <c r="N43" s="134">
        <v>0</v>
      </c>
      <c r="O43" s="142">
        <v>0</v>
      </c>
      <c r="P43" s="135">
        <v>1</v>
      </c>
      <c r="Q43" s="153" t="str">
        <f>IF(SUM(K43:P43)&gt;1,"Error!","")</f>
        <v/>
      </c>
      <c r="R43" s="151">
        <f>SUMPRODUCT(K43:P43,K$1:P$1)</f>
        <v>5</v>
      </c>
      <c r="S43" s="151"/>
      <c r="T43" s="151"/>
      <c r="U43" s="171"/>
    </row>
    <row r="44" spans="1:21" x14ac:dyDescent="0.4">
      <c r="A44" s="151"/>
      <c r="B44" s="151"/>
      <c r="C44" s="151" t="s">
        <v>573</v>
      </c>
      <c r="D44" s="151" t="s">
        <v>318</v>
      </c>
      <c r="E44" s="152" t="s">
        <v>320</v>
      </c>
      <c r="F44" s="158" t="s">
        <v>442</v>
      </c>
      <c r="G44" s="152" t="s">
        <v>567</v>
      </c>
      <c r="H44" s="208">
        <v>0.3</v>
      </c>
      <c r="I44" s="154"/>
      <c r="J44" s="159" t="s">
        <v>252</v>
      </c>
      <c r="K44" s="132">
        <v>0</v>
      </c>
      <c r="L44" s="132">
        <v>0</v>
      </c>
      <c r="M44" s="133">
        <v>0</v>
      </c>
      <c r="N44" s="134">
        <v>1</v>
      </c>
      <c r="O44" s="142">
        <v>0</v>
      </c>
      <c r="P44" s="135">
        <v>0</v>
      </c>
      <c r="Q44" s="153" t="str">
        <f>IF(SUM(K44:P44)&gt;1,"Error!","")</f>
        <v/>
      </c>
      <c r="R44" s="151">
        <f>SUMPRODUCT(K44:P44,K$1:P$1)</f>
        <v>3</v>
      </c>
      <c r="S44" s="151"/>
      <c r="T44" s="151"/>
      <c r="U44" s="171"/>
    </row>
    <row r="45" spans="1:21" x14ac:dyDescent="0.4">
      <c r="A45" s="151"/>
      <c r="B45" s="151"/>
      <c r="C45" s="151" t="s">
        <v>572</v>
      </c>
      <c r="D45" s="151" t="s">
        <v>238</v>
      </c>
      <c r="E45" s="152" t="s">
        <v>321</v>
      </c>
      <c r="F45" s="157"/>
      <c r="G45" s="152" t="s">
        <v>322</v>
      </c>
      <c r="H45" s="151" t="s">
        <v>323</v>
      </c>
      <c r="I45" s="154"/>
      <c r="J45" s="159" t="s">
        <v>252</v>
      </c>
      <c r="K45" s="132">
        <v>0</v>
      </c>
      <c r="L45" s="132">
        <v>0</v>
      </c>
      <c r="M45" s="133">
        <v>0</v>
      </c>
      <c r="N45" s="134">
        <v>0</v>
      </c>
      <c r="O45" s="142">
        <v>0</v>
      </c>
      <c r="P45" s="135">
        <v>0</v>
      </c>
      <c r="Q45" s="153" t="str">
        <f>IF(SUM(K45:P45)&gt;1,"Error!","")</f>
        <v/>
      </c>
      <c r="R45" s="151">
        <f>SUMPRODUCT(K45:P45,K$1:P$1)</f>
        <v>0</v>
      </c>
      <c r="S45" s="151"/>
      <c r="T45" s="151"/>
      <c r="U45" s="171"/>
    </row>
    <row r="46" spans="1:21" x14ac:dyDescent="0.4">
      <c r="A46" s="151"/>
      <c r="B46" s="151"/>
      <c r="C46" s="151" t="s">
        <v>573</v>
      </c>
      <c r="D46" s="151" t="s">
        <v>238</v>
      </c>
      <c r="E46" s="152" t="s">
        <v>321</v>
      </c>
      <c r="F46" s="157"/>
      <c r="G46" s="152" t="s">
        <v>322</v>
      </c>
      <c r="H46" s="151" t="s">
        <v>323</v>
      </c>
      <c r="I46" s="154"/>
      <c r="J46" s="159" t="s">
        <v>252</v>
      </c>
      <c r="K46" s="132">
        <v>0</v>
      </c>
      <c r="L46" s="132">
        <v>0</v>
      </c>
      <c r="M46" s="133">
        <v>0</v>
      </c>
      <c r="N46" s="134">
        <v>0</v>
      </c>
      <c r="O46" s="142">
        <v>0</v>
      </c>
      <c r="P46" s="135">
        <v>0</v>
      </c>
      <c r="Q46" s="153" t="str">
        <f>IF(SUM(K46:P46)&gt;1,"Error!","")</f>
        <v/>
      </c>
      <c r="R46" s="151">
        <f>SUMPRODUCT(K46:P46,K$1:P$1)</f>
        <v>0</v>
      </c>
      <c r="S46" s="151"/>
      <c r="T46" s="151"/>
      <c r="U46" s="171"/>
    </row>
    <row r="47" spans="1:21" x14ac:dyDescent="0.4">
      <c r="A47" s="151"/>
      <c r="B47" s="151"/>
      <c r="C47" s="151"/>
      <c r="D47" s="151"/>
      <c r="E47" s="152"/>
      <c r="F47" s="151"/>
      <c r="G47" s="151"/>
      <c r="H47" s="151"/>
      <c r="I47" s="154"/>
      <c r="J47" s="151"/>
      <c r="K47" s="151"/>
      <c r="L47" s="151" t="s">
        <v>324</v>
      </c>
      <c r="M47" s="151" t="s">
        <v>325</v>
      </c>
      <c r="N47" s="151" t="s">
        <v>326</v>
      </c>
      <c r="O47" s="151" t="s">
        <v>327</v>
      </c>
      <c r="P47" s="151" t="s">
        <v>328</v>
      </c>
      <c r="Q47" s="153"/>
      <c r="R47" s="151"/>
      <c r="S47" s="151"/>
      <c r="T47" s="151"/>
      <c r="U47" s="171"/>
    </row>
    <row r="48" spans="1:21" x14ac:dyDescent="0.4">
      <c r="A48" s="151"/>
      <c r="B48" s="151" t="s">
        <v>329</v>
      </c>
      <c r="C48" s="151" t="s">
        <v>574</v>
      </c>
      <c r="D48" s="151" t="s">
        <v>330</v>
      </c>
      <c r="E48" s="152" t="s">
        <v>331</v>
      </c>
      <c r="F48" s="157"/>
      <c r="G48" s="152" t="s">
        <v>568</v>
      </c>
      <c r="H48" s="163" t="s">
        <v>332</v>
      </c>
      <c r="I48" s="154"/>
      <c r="J48" s="151"/>
      <c r="K48" s="159" t="s">
        <v>252</v>
      </c>
      <c r="L48" s="132">
        <v>0</v>
      </c>
      <c r="M48" s="133">
        <v>0</v>
      </c>
      <c r="N48" s="134">
        <v>1</v>
      </c>
      <c r="O48" s="142">
        <v>0</v>
      </c>
      <c r="P48" s="135">
        <v>0</v>
      </c>
      <c r="Q48" s="160" t="str">
        <f>IF(SUM(L48:P48)&gt;1,"Error!","")</f>
        <v/>
      </c>
      <c r="R48" s="151">
        <f>SUMPRODUCT(L48:P48,L$1:P$1)</f>
        <v>3</v>
      </c>
      <c r="S48" s="151"/>
      <c r="T48" s="151"/>
      <c r="U48" s="171"/>
    </row>
    <row r="49" spans="1:21" x14ac:dyDescent="0.4">
      <c r="A49" s="151"/>
      <c r="B49" s="151"/>
      <c r="C49" s="151"/>
      <c r="D49" s="151"/>
      <c r="E49" s="152"/>
      <c r="F49" s="151"/>
      <c r="G49" s="151"/>
      <c r="H49" s="151"/>
      <c r="I49" s="154"/>
      <c r="J49" s="159"/>
      <c r="K49" s="159" t="s">
        <v>333</v>
      </c>
      <c r="L49" s="151" t="s">
        <v>334</v>
      </c>
      <c r="M49" s="151" t="s">
        <v>335</v>
      </c>
      <c r="N49" s="151" t="s">
        <v>314</v>
      </c>
      <c r="O49" s="151" t="s">
        <v>269</v>
      </c>
      <c r="P49" s="151" t="s">
        <v>336</v>
      </c>
      <c r="Q49" s="153"/>
      <c r="R49" s="151"/>
      <c r="S49" s="151"/>
      <c r="T49" s="151"/>
      <c r="U49" s="171"/>
    </row>
    <row r="50" spans="1:21" x14ac:dyDescent="0.4">
      <c r="A50" s="151"/>
      <c r="B50" s="151"/>
      <c r="C50" s="151" t="s">
        <v>575</v>
      </c>
      <c r="D50" s="151" t="s">
        <v>238</v>
      </c>
      <c r="E50" s="152" t="s">
        <v>337</v>
      </c>
      <c r="F50" s="157"/>
      <c r="G50" s="152" t="s">
        <v>567</v>
      </c>
      <c r="H50" s="163" t="s">
        <v>338</v>
      </c>
      <c r="I50" s="154"/>
      <c r="J50" s="159" t="s">
        <v>252</v>
      </c>
      <c r="K50" s="132">
        <v>0</v>
      </c>
      <c r="L50" s="132">
        <v>1</v>
      </c>
      <c r="M50" s="133">
        <v>0</v>
      </c>
      <c r="N50" s="134">
        <v>0</v>
      </c>
      <c r="O50" s="142">
        <v>0</v>
      </c>
      <c r="P50" s="135">
        <v>0</v>
      </c>
      <c r="Q50" s="160" t="str">
        <f>IF(SUM(L50:P50)&gt;1,"Error!","")</f>
        <v/>
      </c>
      <c r="R50" s="165">
        <f>IF(K50=1,3,SUMPRODUCT(L50:P50,L$1:P$1))</f>
        <v>1</v>
      </c>
      <c r="S50" s="151"/>
      <c r="T50" s="151"/>
      <c r="U50" s="171"/>
    </row>
    <row r="51" spans="1:21" x14ac:dyDescent="0.4">
      <c r="A51" s="151"/>
      <c r="B51" s="151"/>
      <c r="C51" s="151" t="s">
        <v>575</v>
      </c>
      <c r="D51" s="151" t="s">
        <v>238</v>
      </c>
      <c r="E51" s="152" t="s">
        <v>321</v>
      </c>
      <c r="F51" s="157"/>
      <c r="G51" s="152" t="s">
        <v>322</v>
      </c>
      <c r="H51" s="151" t="s">
        <v>339</v>
      </c>
      <c r="I51" s="154"/>
      <c r="J51" s="151"/>
      <c r="K51" s="159" t="s">
        <v>252</v>
      </c>
      <c r="L51" s="132">
        <v>0</v>
      </c>
      <c r="M51" s="133">
        <v>0</v>
      </c>
      <c r="N51" s="134">
        <v>0</v>
      </c>
      <c r="O51" s="142">
        <v>0</v>
      </c>
      <c r="P51" s="135">
        <v>0</v>
      </c>
      <c r="Q51" s="160" t="str">
        <f>IF(SUM(L51:P51)&gt;1,"Error!","")</f>
        <v/>
      </c>
      <c r="R51" s="151">
        <f>SUMPRODUCT(K51:P51,K$1:P$1)</f>
        <v>0</v>
      </c>
      <c r="S51" s="151"/>
      <c r="T51" s="151"/>
      <c r="U51" s="171"/>
    </row>
    <row r="52" spans="1:21" x14ac:dyDescent="0.4">
      <c r="A52" s="151"/>
      <c r="B52" s="151"/>
      <c r="C52" s="151"/>
      <c r="D52" s="151"/>
      <c r="E52" s="152"/>
      <c r="F52" s="151"/>
      <c r="G52" s="151"/>
      <c r="H52" s="151"/>
      <c r="I52" s="154"/>
      <c r="J52" s="151"/>
      <c r="K52" s="151"/>
      <c r="L52" s="151"/>
      <c r="M52" s="151"/>
      <c r="N52" s="151"/>
      <c r="O52" s="151"/>
      <c r="P52" s="151"/>
      <c r="Q52" s="153"/>
      <c r="R52" s="151"/>
      <c r="S52" s="151"/>
      <c r="T52" s="151"/>
      <c r="U52" s="171"/>
    </row>
    <row r="53" spans="1:21" x14ac:dyDescent="0.4">
      <c r="A53" s="151"/>
      <c r="B53" s="151"/>
      <c r="C53" s="151"/>
      <c r="D53" s="151"/>
      <c r="E53" s="152"/>
      <c r="F53" s="151"/>
      <c r="G53" s="151"/>
      <c r="H53" s="151"/>
      <c r="I53" s="154"/>
      <c r="J53" s="151"/>
      <c r="K53" s="159" t="s">
        <v>266</v>
      </c>
      <c r="L53" s="151" t="s">
        <v>313</v>
      </c>
      <c r="M53" s="151" t="s">
        <v>314</v>
      </c>
      <c r="N53" s="151" t="s">
        <v>269</v>
      </c>
      <c r="O53" s="151" t="s">
        <v>315</v>
      </c>
      <c r="P53" s="151" t="s">
        <v>316</v>
      </c>
      <c r="Q53" s="153"/>
      <c r="R53" s="151"/>
      <c r="S53" s="151"/>
      <c r="T53" s="151"/>
      <c r="U53" s="171"/>
    </row>
    <row r="54" spans="1:21" x14ac:dyDescent="0.4">
      <c r="A54" s="151"/>
      <c r="B54" s="151" t="s">
        <v>340</v>
      </c>
      <c r="C54" s="151" t="s">
        <v>509</v>
      </c>
      <c r="D54" s="151" t="s">
        <v>341</v>
      </c>
      <c r="E54" s="152" t="s">
        <v>337</v>
      </c>
      <c r="F54" s="158" t="s">
        <v>443</v>
      </c>
      <c r="G54" s="152" t="s">
        <v>567</v>
      </c>
      <c r="H54" s="163" t="s">
        <v>563</v>
      </c>
      <c r="I54" s="154"/>
      <c r="J54" s="159" t="s">
        <v>252</v>
      </c>
      <c r="K54" s="132">
        <v>1</v>
      </c>
      <c r="L54" s="132">
        <v>0</v>
      </c>
      <c r="M54" s="133">
        <v>0</v>
      </c>
      <c r="N54" s="134">
        <v>0</v>
      </c>
      <c r="O54" s="142">
        <v>0</v>
      </c>
      <c r="P54" s="135">
        <v>0</v>
      </c>
      <c r="Q54" s="160" t="str">
        <f>IF(SUM(K54:P54)&gt;1,"Error!","")</f>
        <v/>
      </c>
      <c r="R54" s="151">
        <f>SUMPRODUCT(K54:P54,K$1:P$1)</f>
        <v>0</v>
      </c>
      <c r="S54" s="151"/>
      <c r="T54" s="151"/>
      <c r="U54" s="171"/>
    </row>
    <row r="55" spans="1:21" x14ac:dyDescent="0.4">
      <c r="A55" s="151"/>
      <c r="B55" s="151"/>
      <c r="C55" s="151"/>
      <c r="D55" s="151" t="s">
        <v>318</v>
      </c>
      <c r="E55" s="152" t="s">
        <v>321</v>
      </c>
      <c r="F55" s="157"/>
      <c r="G55" s="152" t="s">
        <v>342</v>
      </c>
      <c r="H55" s="151" t="s">
        <v>323</v>
      </c>
      <c r="I55" s="154"/>
      <c r="J55" s="159" t="s">
        <v>252</v>
      </c>
      <c r="K55" s="132">
        <v>0</v>
      </c>
      <c r="L55" s="132">
        <v>0</v>
      </c>
      <c r="M55" s="133">
        <v>0</v>
      </c>
      <c r="N55" s="134">
        <v>0</v>
      </c>
      <c r="O55" s="142">
        <v>0</v>
      </c>
      <c r="P55" s="135">
        <v>0</v>
      </c>
      <c r="Q55" s="160" t="str">
        <f>IF(SUM(K55:P55)&gt;1,"Error!","")</f>
        <v/>
      </c>
      <c r="R55" s="151">
        <f>SUMPRODUCT(K55:P55,K$1:P$1)</f>
        <v>0</v>
      </c>
      <c r="S55" s="151"/>
      <c r="T55" s="151"/>
      <c r="U55" s="171"/>
    </row>
    <row r="56" spans="1:21" x14ac:dyDescent="0.4">
      <c r="A56" s="151"/>
      <c r="B56" s="151"/>
      <c r="C56" s="151"/>
      <c r="D56" s="151"/>
      <c r="E56" s="152"/>
      <c r="F56" s="151"/>
      <c r="G56" s="151"/>
      <c r="H56" s="151"/>
      <c r="I56" s="154"/>
      <c r="J56" s="159"/>
      <c r="K56" s="121"/>
      <c r="L56" s="121"/>
      <c r="M56" s="121"/>
      <c r="N56" s="121"/>
      <c r="O56" s="121"/>
      <c r="P56" s="121"/>
      <c r="Q56" s="153"/>
      <c r="R56" s="151"/>
      <c r="S56" s="151"/>
      <c r="T56" s="151"/>
      <c r="U56" s="171"/>
    </row>
    <row r="57" spans="1:21" ht="16.5" thickBot="1" x14ac:dyDescent="0.45">
      <c r="A57" s="172"/>
      <c r="B57" s="172" t="s">
        <v>343</v>
      </c>
      <c r="C57" s="172" t="s">
        <v>565</v>
      </c>
      <c r="D57" s="173" t="s">
        <v>254</v>
      </c>
      <c r="E57" s="173" t="s">
        <v>255</v>
      </c>
      <c r="F57" s="173"/>
      <c r="G57" s="213" t="s">
        <v>344</v>
      </c>
      <c r="H57" s="174" t="s">
        <v>312</v>
      </c>
      <c r="I57" s="175"/>
      <c r="J57" s="176" t="s">
        <v>258</v>
      </c>
      <c r="K57" s="177">
        <v>0</v>
      </c>
      <c r="L57" s="172"/>
      <c r="M57" s="172"/>
      <c r="N57" s="172"/>
      <c r="O57" s="172"/>
      <c r="P57" s="172"/>
      <c r="Q57" s="178"/>
      <c r="R57" s="172">
        <f>IF(K57=1,5,0)</f>
        <v>0</v>
      </c>
      <c r="S57" s="172"/>
      <c r="T57" s="172"/>
      <c r="U57" s="179"/>
    </row>
    <row r="58" spans="1:21" hidden="1" outlineLevel="1" x14ac:dyDescent="0.4">
      <c r="E58" s="117"/>
    </row>
    <row r="59" spans="1:21" hidden="1" outlineLevel="1" x14ac:dyDescent="0.4">
      <c r="A59" s="143" t="s">
        <v>13</v>
      </c>
      <c r="C59" s="107" t="s">
        <v>345</v>
      </c>
      <c r="D59" s="107" t="s">
        <v>220</v>
      </c>
      <c r="E59" s="117" t="s">
        <v>346</v>
      </c>
      <c r="F59" s="113" t="s">
        <v>347</v>
      </c>
      <c r="G59" s="113" t="s">
        <v>347</v>
      </c>
      <c r="H59" s="119">
        <v>0.2</v>
      </c>
    </row>
    <row r="60" spans="1:21" hidden="1" outlineLevel="1" x14ac:dyDescent="0.4">
      <c r="C60" s="107" t="s">
        <v>348</v>
      </c>
      <c r="D60" s="107" t="s">
        <v>291</v>
      </c>
      <c r="E60" s="117" t="s">
        <v>346</v>
      </c>
      <c r="F60" s="113" t="s">
        <v>347</v>
      </c>
      <c r="G60" s="113" t="s">
        <v>347</v>
      </c>
      <c r="H60" s="119">
        <v>0.2</v>
      </c>
    </row>
    <row r="61" spans="1:21" hidden="1" outlineLevel="1" x14ac:dyDescent="0.4">
      <c r="C61" s="107" t="s">
        <v>349</v>
      </c>
      <c r="D61" s="107" t="s">
        <v>220</v>
      </c>
      <c r="E61" s="117" t="s">
        <v>346</v>
      </c>
      <c r="F61" s="113" t="s">
        <v>347</v>
      </c>
      <c r="G61" s="113" t="s">
        <v>347</v>
      </c>
      <c r="H61" s="119">
        <v>0.2</v>
      </c>
    </row>
    <row r="62" spans="1:21" hidden="1" outlineLevel="1" x14ac:dyDescent="0.4">
      <c r="D62" s="107" t="s">
        <v>318</v>
      </c>
      <c r="E62" s="117" t="s">
        <v>350</v>
      </c>
      <c r="F62" s="118"/>
      <c r="G62" s="113" t="s">
        <v>351</v>
      </c>
      <c r="H62" s="119">
        <v>0.3</v>
      </c>
    </row>
    <row r="63" spans="1:21" hidden="1" outlineLevel="1" x14ac:dyDescent="0.4">
      <c r="D63" s="107" t="s">
        <v>254</v>
      </c>
      <c r="E63" s="117" t="s">
        <v>255</v>
      </c>
      <c r="G63" s="113" t="s">
        <v>256</v>
      </c>
      <c r="H63" s="119" t="s">
        <v>312</v>
      </c>
    </row>
    <row r="64" spans="1:21" hidden="1" outlineLevel="1" x14ac:dyDescent="0.4">
      <c r="E64" s="117"/>
    </row>
    <row r="65" spans="1:9" hidden="1" outlineLevel="1" x14ac:dyDescent="0.4">
      <c r="A65" s="143" t="s">
        <v>2</v>
      </c>
      <c r="C65" s="107" t="s">
        <v>352</v>
      </c>
      <c r="D65" s="107" t="s">
        <v>220</v>
      </c>
      <c r="E65" s="117" t="s">
        <v>353</v>
      </c>
      <c r="F65" s="113" t="s">
        <v>284</v>
      </c>
      <c r="G65" s="113" t="s">
        <v>284</v>
      </c>
      <c r="H65" s="119">
        <v>0.6</v>
      </c>
    </row>
    <row r="66" spans="1:9" hidden="1" outlineLevel="1" x14ac:dyDescent="0.4">
      <c r="E66" s="117"/>
      <c r="G66" s="113" t="s">
        <v>444</v>
      </c>
      <c r="H66" s="119"/>
      <c r="I66" s="117"/>
    </row>
    <row r="67" spans="1:9" hidden="1" outlineLevel="1" x14ac:dyDescent="0.4">
      <c r="C67" s="107" t="s">
        <v>354</v>
      </c>
      <c r="D67" s="107" t="s">
        <v>288</v>
      </c>
      <c r="E67" s="117" t="s">
        <v>355</v>
      </c>
      <c r="F67" s="113" t="s">
        <v>284</v>
      </c>
      <c r="G67" s="113" t="s">
        <v>284</v>
      </c>
      <c r="H67" s="119">
        <v>0.3</v>
      </c>
    </row>
    <row r="68" spans="1:9" hidden="1" outlineLevel="1" x14ac:dyDescent="0.4">
      <c r="D68" s="118" t="s">
        <v>254</v>
      </c>
      <c r="E68" s="118" t="s">
        <v>255</v>
      </c>
      <c r="F68" s="118"/>
      <c r="G68" s="118" t="s">
        <v>356</v>
      </c>
      <c r="H68" s="119" t="s">
        <v>312</v>
      </c>
    </row>
    <row r="69" spans="1:9" hidden="1" outlineLevel="1" x14ac:dyDescent="0.4">
      <c r="E69" s="117"/>
    </row>
    <row r="70" spans="1:9" hidden="1" outlineLevel="1" x14ac:dyDescent="0.4">
      <c r="A70" s="143" t="s">
        <v>14</v>
      </c>
      <c r="D70" s="107" t="s">
        <v>282</v>
      </c>
      <c r="E70" s="117" t="s">
        <v>357</v>
      </c>
      <c r="F70" s="113" t="s">
        <v>358</v>
      </c>
      <c r="G70" s="113" t="s">
        <v>358</v>
      </c>
      <c r="H70" s="119">
        <v>0.9</v>
      </c>
    </row>
    <row r="71" spans="1:9" hidden="1" outlineLevel="1" x14ac:dyDescent="0.4">
      <c r="D71" s="118" t="s">
        <v>254</v>
      </c>
      <c r="E71" s="118" t="s">
        <v>255</v>
      </c>
      <c r="F71" s="118"/>
      <c r="G71" s="118" t="s">
        <v>446</v>
      </c>
      <c r="H71" s="119" t="s">
        <v>312</v>
      </c>
    </row>
    <row r="72" spans="1:9" hidden="1" outlineLevel="1" x14ac:dyDescent="0.4">
      <c r="E72" s="117"/>
    </row>
    <row r="73" spans="1:9" hidden="1" outlineLevel="1" x14ac:dyDescent="0.4">
      <c r="A73" s="115" t="s">
        <v>15</v>
      </c>
      <c r="C73" s="113" t="s">
        <v>359</v>
      </c>
      <c r="D73" s="107" t="s">
        <v>341</v>
      </c>
      <c r="E73" s="117" t="s">
        <v>360</v>
      </c>
      <c r="F73" s="113" t="s">
        <v>361</v>
      </c>
      <c r="G73" s="113" t="s">
        <v>361</v>
      </c>
      <c r="H73" s="144">
        <v>0.3</v>
      </c>
    </row>
    <row r="74" spans="1:9" hidden="1" outlineLevel="1" x14ac:dyDescent="0.4">
      <c r="C74" s="113" t="s">
        <v>362</v>
      </c>
      <c r="D74" s="107" t="s">
        <v>341</v>
      </c>
      <c r="E74" s="117" t="s">
        <v>363</v>
      </c>
      <c r="G74" s="113" t="s">
        <v>361</v>
      </c>
      <c r="H74" s="119" t="s">
        <v>364</v>
      </c>
    </row>
    <row r="75" spans="1:9" hidden="1" outlineLevel="1" x14ac:dyDescent="0.4">
      <c r="C75" s="113" t="s">
        <v>365</v>
      </c>
      <c r="D75" s="107" t="s">
        <v>341</v>
      </c>
      <c r="E75" s="117" t="s">
        <v>363</v>
      </c>
      <c r="G75" s="113" t="s">
        <v>361</v>
      </c>
      <c r="H75" s="119" t="s">
        <v>364</v>
      </c>
    </row>
    <row r="76" spans="1:9" hidden="1" outlineLevel="1" x14ac:dyDescent="0.4">
      <c r="C76" s="113" t="s">
        <v>366</v>
      </c>
      <c r="D76" s="107" t="s">
        <v>318</v>
      </c>
      <c r="E76" s="117" t="s">
        <v>363</v>
      </c>
      <c r="G76" s="113" t="s">
        <v>361</v>
      </c>
      <c r="H76" s="119" t="s">
        <v>364</v>
      </c>
    </row>
    <row r="77" spans="1:9" hidden="1" outlineLevel="1" x14ac:dyDescent="0.4">
      <c r="C77" s="113" t="s">
        <v>367</v>
      </c>
      <c r="D77" s="107" t="s">
        <v>318</v>
      </c>
      <c r="E77" s="117" t="s">
        <v>363</v>
      </c>
      <c r="G77" s="113" t="s">
        <v>361</v>
      </c>
      <c r="H77" s="119" t="s">
        <v>364</v>
      </c>
    </row>
    <row r="78" spans="1:9" hidden="1" outlineLevel="1" x14ac:dyDescent="0.4">
      <c r="D78" s="117" t="s">
        <v>254</v>
      </c>
      <c r="E78" s="117" t="s">
        <v>255</v>
      </c>
      <c r="F78" s="117"/>
      <c r="G78" s="113" t="s">
        <v>435</v>
      </c>
      <c r="H78" s="119" t="s">
        <v>312</v>
      </c>
    </row>
    <row r="79" spans="1:9" hidden="1" outlineLevel="1" x14ac:dyDescent="0.4">
      <c r="G79" s="113" t="s">
        <v>445</v>
      </c>
    </row>
    <row r="80" spans="1:9" collapsed="1" x14ac:dyDescent="0.4">
      <c r="E80" s="117"/>
    </row>
  </sheetData>
  <phoneticPr fontI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W78"/>
  <sheetViews>
    <sheetView topLeftCell="A28" zoomScale="70" zoomScaleNormal="70" workbookViewId="0">
      <selection activeCell="H50" sqref="H50"/>
    </sheetView>
  </sheetViews>
  <sheetFormatPr defaultRowHeight="18.75" outlineLevelRow="1" outlineLevelCol="1" x14ac:dyDescent="0.4"/>
  <cols>
    <col min="1" max="1" width="5.25" customWidth="1"/>
    <col min="2" max="2" width="23.5" bestFit="1" customWidth="1"/>
    <col min="3" max="3" width="5.5" style="1" hidden="1" customWidth="1" outlineLevel="1"/>
    <col min="4" max="5" width="10.375" hidden="1" customWidth="1" outlineLevel="1"/>
    <col min="6" max="6" width="9.875" hidden="1" customWidth="1" outlineLevel="1"/>
    <col min="7" max="7" width="9.25" hidden="1" customWidth="1" outlineLevel="1"/>
    <col min="8" max="8" width="11.875" style="3" customWidth="1" collapsed="1"/>
    <col min="9" max="9" width="11.875" style="4" customWidth="1"/>
    <col min="10" max="10" width="11.875" style="3" customWidth="1"/>
    <col min="11" max="12" width="11.875" style="4" customWidth="1"/>
    <col min="13" max="13" width="11.875" customWidth="1"/>
    <col min="14" max="15" width="11.875" hidden="1" customWidth="1" outlineLevel="1"/>
    <col min="16" max="16" width="5.875" hidden="1" customWidth="1" outlineLevel="1"/>
    <col min="17" max="17" width="7.25" hidden="1" customWidth="1" outlineLevel="1"/>
    <col min="18" max="18" width="9.375" hidden="1" customWidth="1" outlineLevel="1"/>
    <col min="19" max="19" width="8.25" hidden="1" customWidth="1" outlineLevel="1"/>
    <col min="20" max="21" width="9.125" hidden="1" customWidth="1" outlineLevel="1"/>
    <col min="22" max="22" width="9" hidden="1" customWidth="1" outlineLevel="1"/>
    <col min="23" max="23" width="9" collapsed="1"/>
  </cols>
  <sheetData>
    <row r="1" spans="1:21" ht="24" x14ac:dyDescent="0.4">
      <c r="A1" s="45" t="s">
        <v>197</v>
      </c>
    </row>
    <row r="2" spans="1:21" x14ac:dyDescent="0.4">
      <c r="B2" t="s">
        <v>21</v>
      </c>
      <c r="F2" s="43" t="s">
        <v>191</v>
      </c>
    </row>
    <row r="3" spans="1:21" s="5" customFormat="1" ht="56.25" x14ac:dyDescent="0.4">
      <c r="B3" s="6" t="s">
        <v>16</v>
      </c>
      <c r="C3" s="39" t="s">
        <v>119</v>
      </c>
      <c r="D3" s="6" t="s">
        <v>19</v>
      </c>
      <c r="E3" s="6" t="s">
        <v>20</v>
      </c>
      <c r="F3" s="6" t="s">
        <v>63</v>
      </c>
      <c r="G3" s="6" t="s">
        <v>23</v>
      </c>
      <c r="H3" s="7" t="s">
        <v>558</v>
      </c>
      <c r="I3" s="8" t="s">
        <v>510</v>
      </c>
      <c r="J3" s="7" t="s">
        <v>512</v>
      </c>
      <c r="K3" s="8" t="s">
        <v>514</v>
      </c>
      <c r="L3" s="8" t="s">
        <v>519</v>
      </c>
      <c r="M3" s="8" t="s">
        <v>516</v>
      </c>
      <c r="N3" s="8" t="s">
        <v>110</v>
      </c>
      <c r="Q3" t="s">
        <v>31</v>
      </c>
    </row>
    <row r="4" spans="1:21" hidden="1" outlineLevel="1" x14ac:dyDescent="0.4">
      <c r="A4" t="s">
        <v>34</v>
      </c>
      <c r="B4" s="9" t="s">
        <v>7</v>
      </c>
      <c r="C4" s="13"/>
      <c r="D4" s="9" t="str">
        <f t="shared" ref="D4:D11" si="0">VLOOKUP(E4,$P$4:$T$8,5,FALSE)</f>
        <v>★★★</v>
      </c>
      <c r="E4" s="9">
        <f t="shared" ref="E4:E11" si="1">IF(F4&lt;$S$4,5,IF(F4&lt;$S$5,4,IF(F4&lt;$S$6,3,IF(F4&lt;$S$7,2,IF(F4&lt;=$S$8,1,FALSE)))))</f>
        <v>3</v>
      </c>
      <c r="F4" s="36">
        <f>G4</f>
        <v>9.6232142857142851</v>
      </c>
      <c r="G4" s="49">
        <f t="shared" ref="G4:G11" si="2">H26*H37+J26*J37+I26*I37+K26*K37+L26*L37+M26*M37+N26*N37</f>
        <v>9.6232142857142851</v>
      </c>
      <c r="H4" s="10">
        <f>H48-H26</f>
        <v>24</v>
      </c>
      <c r="I4" s="10">
        <f>I48-I26</f>
        <v>3</v>
      </c>
      <c r="J4" s="10">
        <f t="shared" ref="J4:N4" si="3">J48-J26</f>
        <v>7</v>
      </c>
      <c r="K4" s="10">
        <f t="shared" si="3"/>
        <v>5</v>
      </c>
      <c r="L4" s="10">
        <f t="shared" si="3"/>
        <v>4</v>
      </c>
      <c r="M4" s="10">
        <f t="shared" si="3"/>
        <v>3</v>
      </c>
      <c r="N4" s="10">
        <f t="shared" si="3"/>
        <v>0</v>
      </c>
      <c r="P4">
        <v>5</v>
      </c>
      <c r="Q4" s="30">
        <v>-50</v>
      </c>
      <c r="R4" t="s">
        <v>25</v>
      </c>
      <c r="S4" s="30">
        <v>-10</v>
      </c>
      <c r="T4" t="s">
        <v>30</v>
      </c>
      <c r="U4" t="s">
        <v>60</v>
      </c>
    </row>
    <row r="5" spans="1:21" hidden="1" outlineLevel="1" x14ac:dyDescent="0.4">
      <c r="A5" t="s">
        <v>35</v>
      </c>
      <c r="B5" s="9" t="s">
        <v>8</v>
      </c>
      <c r="C5" s="13"/>
      <c r="D5" s="9" t="str">
        <f t="shared" si="0"/>
        <v>★★</v>
      </c>
      <c r="E5" s="9">
        <f t="shared" si="1"/>
        <v>2</v>
      </c>
      <c r="F5" s="36">
        <f t="shared" ref="F5:F11" si="4">G5</f>
        <v>12.423529411764706</v>
      </c>
      <c r="G5" s="49">
        <f t="shared" si="2"/>
        <v>12.423529411764706</v>
      </c>
      <c r="H5" s="10">
        <f t="shared" ref="H5:N5" si="5">H49-H27</f>
        <v>10</v>
      </c>
      <c r="I5" s="10">
        <f>I49-I27</f>
        <v>18</v>
      </c>
      <c r="J5" s="10">
        <f t="shared" si="5"/>
        <v>20</v>
      </c>
      <c r="K5" s="10">
        <f t="shared" si="5"/>
        <v>11</v>
      </c>
      <c r="L5" s="10">
        <f t="shared" si="5"/>
        <v>3</v>
      </c>
      <c r="M5" s="13">
        <f t="shared" si="5"/>
        <v>5</v>
      </c>
      <c r="N5" s="13">
        <f t="shared" si="5"/>
        <v>0</v>
      </c>
      <c r="P5">
        <v>4</v>
      </c>
      <c r="Q5" s="30">
        <f>S4</f>
        <v>-10</v>
      </c>
      <c r="R5" t="s">
        <v>25</v>
      </c>
      <c r="S5" s="30">
        <v>-5</v>
      </c>
      <c r="T5" t="s">
        <v>29</v>
      </c>
      <c r="U5" t="s">
        <v>59</v>
      </c>
    </row>
    <row r="6" spans="1:21" collapsed="1" x14ac:dyDescent="0.4">
      <c r="A6" t="s">
        <v>36</v>
      </c>
      <c r="B6" s="150" t="s">
        <v>1</v>
      </c>
      <c r="C6" s="190" t="s">
        <v>120</v>
      </c>
      <c r="D6" s="9" t="str">
        <f t="shared" si="0"/>
        <v>★★★</v>
      </c>
      <c r="E6" s="9">
        <f t="shared" si="1"/>
        <v>3</v>
      </c>
      <c r="F6" s="53">
        <f t="shared" si="4"/>
        <v>0.6720000000000006</v>
      </c>
      <c r="G6" s="198">
        <f t="shared" si="2"/>
        <v>0.6720000000000006</v>
      </c>
      <c r="H6" s="190">
        <f t="shared" ref="H6:M6" si="6">H50-H28</f>
        <v>14</v>
      </c>
      <c r="I6" s="10"/>
      <c r="J6" s="10"/>
      <c r="K6" s="190">
        <f t="shared" si="6"/>
        <v>4</v>
      </c>
      <c r="L6" s="190">
        <f t="shared" si="6"/>
        <v>12</v>
      </c>
      <c r="M6" s="190">
        <f t="shared" si="6"/>
        <v>4</v>
      </c>
      <c r="N6" s="13"/>
      <c r="P6">
        <v>3</v>
      </c>
      <c r="Q6" s="30">
        <f t="shared" ref="Q6:Q8" si="7">S5</f>
        <v>-5</v>
      </c>
      <c r="R6" t="s">
        <v>25</v>
      </c>
      <c r="S6" s="30">
        <v>10</v>
      </c>
      <c r="T6" t="s">
        <v>28</v>
      </c>
      <c r="U6" t="s">
        <v>58</v>
      </c>
    </row>
    <row r="7" spans="1:21" x14ac:dyDescent="0.4">
      <c r="A7" t="s">
        <v>37</v>
      </c>
      <c r="B7" s="150" t="s">
        <v>12</v>
      </c>
      <c r="C7" s="190" t="s">
        <v>120</v>
      </c>
      <c r="D7" s="9" t="str">
        <f t="shared" si="0"/>
        <v>★★★</v>
      </c>
      <c r="E7" s="9">
        <f t="shared" si="1"/>
        <v>3</v>
      </c>
      <c r="F7" s="53">
        <f t="shared" si="4"/>
        <v>7.9530973451327434</v>
      </c>
      <c r="G7" s="198">
        <f t="shared" si="2"/>
        <v>7.9530973451327434</v>
      </c>
      <c r="H7" s="190">
        <f t="shared" ref="H7:M7" si="8">H51-H29</f>
        <v>13</v>
      </c>
      <c r="I7" s="190">
        <f>I51-I29</f>
        <v>12</v>
      </c>
      <c r="J7" s="190">
        <f t="shared" si="8"/>
        <v>24</v>
      </c>
      <c r="K7" s="190">
        <f t="shared" si="8"/>
        <v>22</v>
      </c>
      <c r="L7" s="190">
        <f t="shared" si="8"/>
        <v>10</v>
      </c>
      <c r="M7" s="190">
        <f t="shared" si="8"/>
        <v>10</v>
      </c>
      <c r="N7" s="13"/>
      <c r="P7">
        <v>2</v>
      </c>
      <c r="Q7" s="30">
        <f t="shared" si="7"/>
        <v>10</v>
      </c>
      <c r="R7" t="s">
        <v>25</v>
      </c>
      <c r="S7" s="30">
        <v>30</v>
      </c>
      <c r="T7" t="s">
        <v>27</v>
      </c>
      <c r="U7" t="s">
        <v>62</v>
      </c>
    </row>
    <row r="8" spans="1:21" hidden="1" outlineLevel="1" x14ac:dyDescent="0.4">
      <c r="A8" s="38" t="s">
        <v>38</v>
      </c>
      <c r="B8" s="41" t="s">
        <v>13</v>
      </c>
      <c r="C8" s="37"/>
      <c r="D8" s="41" t="str">
        <f t="shared" si="0"/>
        <v>★★★</v>
      </c>
      <c r="E8" s="41">
        <f t="shared" si="1"/>
        <v>3</v>
      </c>
      <c r="F8" s="42">
        <f t="shared" si="4"/>
        <v>0</v>
      </c>
      <c r="G8" s="50">
        <f t="shared" si="2"/>
        <v>0</v>
      </c>
      <c r="H8" s="37">
        <f t="shared" ref="H8:N8" si="9">H52-H30</f>
        <v>0</v>
      </c>
      <c r="I8" s="37">
        <f>I52-I30</f>
        <v>0</v>
      </c>
      <c r="J8" s="37">
        <f t="shared" si="9"/>
        <v>0</v>
      </c>
      <c r="K8" s="37">
        <f t="shared" si="9"/>
        <v>0</v>
      </c>
      <c r="L8" s="37">
        <f t="shared" si="9"/>
        <v>0</v>
      </c>
      <c r="M8" s="37">
        <f t="shared" si="9"/>
        <v>0</v>
      </c>
      <c r="N8" s="37">
        <f t="shared" si="9"/>
        <v>0</v>
      </c>
      <c r="P8">
        <v>1</v>
      </c>
      <c r="Q8" s="30">
        <f t="shared" si="7"/>
        <v>30</v>
      </c>
      <c r="R8" t="s">
        <v>25</v>
      </c>
      <c r="S8" s="30">
        <v>100</v>
      </c>
      <c r="T8" t="s">
        <v>26</v>
      </c>
      <c r="U8" t="s">
        <v>61</v>
      </c>
    </row>
    <row r="9" spans="1:21" hidden="1" outlineLevel="1" x14ac:dyDescent="0.4">
      <c r="A9" t="s">
        <v>39</v>
      </c>
      <c r="B9" s="9" t="s">
        <v>2</v>
      </c>
      <c r="C9" s="13"/>
      <c r="D9" s="9" t="str">
        <f t="shared" si="0"/>
        <v>★★★</v>
      </c>
      <c r="E9" s="9">
        <f t="shared" si="1"/>
        <v>3</v>
      </c>
      <c r="F9" s="36">
        <f t="shared" si="4"/>
        <v>2.5903225806451617</v>
      </c>
      <c r="G9" s="49">
        <f t="shared" si="2"/>
        <v>2.5903225806451617</v>
      </c>
      <c r="H9" s="10">
        <f t="shared" ref="H9:N9" si="10">H53-H31</f>
        <v>16</v>
      </c>
      <c r="I9" s="10">
        <f>I53-I31</f>
        <v>0</v>
      </c>
      <c r="J9" s="10">
        <f t="shared" si="10"/>
        <v>2</v>
      </c>
      <c r="K9" s="10">
        <f t="shared" si="10"/>
        <v>0</v>
      </c>
      <c r="L9" s="10">
        <f t="shared" si="10"/>
        <v>7</v>
      </c>
      <c r="M9" s="10">
        <f t="shared" si="10"/>
        <v>0</v>
      </c>
      <c r="N9" s="13">
        <f t="shared" si="10"/>
        <v>0</v>
      </c>
      <c r="Q9" s="2"/>
    </row>
    <row r="10" spans="1:21" hidden="1" outlineLevel="1" x14ac:dyDescent="0.4">
      <c r="A10" s="38" t="s">
        <v>40</v>
      </c>
      <c r="B10" s="41" t="s">
        <v>14</v>
      </c>
      <c r="C10" s="37"/>
      <c r="D10" s="41" t="str">
        <f t="shared" si="0"/>
        <v>★★★</v>
      </c>
      <c r="E10" s="41">
        <f t="shared" si="1"/>
        <v>3</v>
      </c>
      <c r="F10" s="42">
        <f t="shared" si="4"/>
        <v>0</v>
      </c>
      <c r="G10" s="50">
        <f t="shared" si="2"/>
        <v>0</v>
      </c>
      <c r="H10" s="37">
        <f t="shared" ref="H10:N10" si="11">H54-H32</f>
        <v>0</v>
      </c>
      <c r="I10" s="37">
        <f>I54-I32</f>
        <v>0</v>
      </c>
      <c r="J10" s="37">
        <f t="shared" si="11"/>
        <v>0</v>
      </c>
      <c r="K10" s="37">
        <f t="shared" si="11"/>
        <v>0</v>
      </c>
      <c r="L10" s="37">
        <f t="shared" si="11"/>
        <v>0</v>
      </c>
      <c r="M10" s="37">
        <f t="shared" si="11"/>
        <v>0</v>
      </c>
      <c r="N10" s="37">
        <f t="shared" si="11"/>
        <v>0</v>
      </c>
    </row>
    <row r="11" spans="1:21" hidden="1" outlineLevel="1" x14ac:dyDescent="0.4">
      <c r="A11" s="38" t="s">
        <v>41</v>
      </c>
      <c r="B11" s="41" t="s">
        <v>15</v>
      </c>
      <c r="C11" s="37"/>
      <c r="D11" s="41" t="str">
        <f t="shared" si="0"/>
        <v>★★★</v>
      </c>
      <c r="E11" s="41">
        <f t="shared" si="1"/>
        <v>3</v>
      </c>
      <c r="F11" s="42">
        <f t="shared" si="4"/>
        <v>0</v>
      </c>
      <c r="G11" s="50">
        <f t="shared" si="2"/>
        <v>0</v>
      </c>
      <c r="H11" s="37">
        <f t="shared" ref="H11:N11" si="12">H55-H33</f>
        <v>0</v>
      </c>
      <c r="I11" s="37">
        <f>I55-I33</f>
        <v>0</v>
      </c>
      <c r="J11" s="37">
        <f t="shared" si="12"/>
        <v>0</v>
      </c>
      <c r="K11" s="37">
        <f t="shared" si="12"/>
        <v>0</v>
      </c>
      <c r="L11" s="37">
        <f t="shared" si="12"/>
        <v>0</v>
      </c>
      <c r="M11" s="37">
        <f t="shared" si="12"/>
        <v>0</v>
      </c>
      <c r="N11" s="37">
        <f t="shared" si="12"/>
        <v>0</v>
      </c>
    </row>
    <row r="12" spans="1:21" collapsed="1" x14ac:dyDescent="0.4"/>
    <row r="13" spans="1:21" x14ac:dyDescent="0.4">
      <c r="B13" t="s">
        <v>507</v>
      </c>
      <c r="F13" s="43"/>
    </row>
    <row r="14" spans="1:21" s="5" customFormat="1" ht="56.25" x14ac:dyDescent="0.4">
      <c r="B14" s="6" t="s">
        <v>16</v>
      </c>
      <c r="C14" s="39" t="s">
        <v>119</v>
      </c>
      <c r="D14" s="6"/>
      <c r="E14" s="6"/>
      <c r="F14" s="6"/>
      <c r="G14" s="6" t="s">
        <v>201</v>
      </c>
      <c r="H14" s="7" t="s">
        <v>558</v>
      </c>
      <c r="I14" s="8" t="s">
        <v>510</v>
      </c>
      <c r="J14" s="7" t="s">
        <v>512</v>
      </c>
      <c r="K14" s="8" t="s">
        <v>514</v>
      </c>
      <c r="L14" s="8" t="s">
        <v>519</v>
      </c>
      <c r="M14" s="8" t="s">
        <v>516</v>
      </c>
      <c r="N14" s="8" t="s">
        <v>110</v>
      </c>
      <c r="Q14"/>
    </row>
    <row r="15" spans="1:21" hidden="1" outlineLevel="1" x14ac:dyDescent="0.4">
      <c r="A15" t="s">
        <v>34</v>
      </c>
      <c r="B15" s="9" t="s">
        <v>7</v>
      </c>
      <c r="C15" s="13"/>
      <c r="D15" s="9"/>
      <c r="E15" s="9"/>
      <c r="F15" s="36"/>
      <c r="G15" s="9"/>
      <c r="H15" s="51">
        <f>H4/(H48-H59)</f>
        <v>0.63157894736842102</v>
      </c>
      <c r="I15" s="51">
        <f>I4/(I48-I59)</f>
        <v>0.3</v>
      </c>
      <c r="J15" s="51">
        <f t="shared" ref="J15:M15" si="13">J4/(J48-J59)</f>
        <v>0.5</v>
      </c>
      <c r="K15" s="51">
        <f t="shared" si="13"/>
        <v>0.83333333333333337</v>
      </c>
      <c r="L15" s="51">
        <f t="shared" si="13"/>
        <v>0.5</v>
      </c>
      <c r="M15" s="51">
        <f t="shared" si="13"/>
        <v>0.75</v>
      </c>
      <c r="N15" s="46">
        <f t="shared" ref="N15" si="14">-N4*N37</f>
        <v>0</v>
      </c>
      <c r="Q15" s="30"/>
      <c r="S15" s="30"/>
    </row>
    <row r="16" spans="1:21" hidden="1" outlineLevel="1" x14ac:dyDescent="0.4">
      <c r="A16" t="s">
        <v>35</v>
      </c>
      <c r="B16" s="9" t="s">
        <v>8</v>
      </c>
      <c r="C16" s="13"/>
      <c r="D16" s="9"/>
      <c r="E16" s="9"/>
      <c r="F16" s="36"/>
      <c r="G16" s="9"/>
      <c r="H16" s="51">
        <f t="shared" ref="H16:M16" si="15">H5/(H49-H60)</f>
        <v>0.41666666666666669</v>
      </c>
      <c r="I16" s="51">
        <f>I5/(I49-I60)</f>
        <v>0.6</v>
      </c>
      <c r="J16" s="51">
        <f t="shared" si="15"/>
        <v>1</v>
      </c>
      <c r="K16" s="51">
        <f t="shared" si="15"/>
        <v>0.7857142857142857</v>
      </c>
      <c r="L16" s="51">
        <f t="shared" si="15"/>
        <v>0.5</v>
      </c>
      <c r="M16" s="51">
        <f t="shared" si="15"/>
        <v>0.83333333333333337</v>
      </c>
      <c r="N16" s="47">
        <f t="shared" ref="N16" si="16">-N5*N38</f>
        <v>0</v>
      </c>
      <c r="Q16" s="30"/>
      <c r="S16" s="30"/>
    </row>
    <row r="17" spans="1:19" collapsed="1" x14ac:dyDescent="0.4">
      <c r="A17" t="s">
        <v>36</v>
      </c>
      <c r="B17" s="150" t="s">
        <v>1</v>
      </c>
      <c r="C17" s="13"/>
      <c r="D17" s="9"/>
      <c r="E17" s="9"/>
      <c r="F17" s="36"/>
      <c r="G17" s="9"/>
      <c r="H17" s="181">
        <f t="shared" ref="H17:M17" si="17">H6/(H50-H61)</f>
        <v>0.36842105263157893</v>
      </c>
      <c r="I17" s="51"/>
      <c r="J17" s="51"/>
      <c r="K17" s="181">
        <f>K6/(K50-K61)</f>
        <v>1</v>
      </c>
      <c r="L17" s="181">
        <f t="shared" si="17"/>
        <v>0.66666666666666663</v>
      </c>
      <c r="M17" s="181">
        <f t="shared" si="17"/>
        <v>1</v>
      </c>
      <c r="N17" s="47"/>
      <c r="Q17" s="30"/>
      <c r="S17" s="30"/>
    </row>
    <row r="18" spans="1:19" x14ac:dyDescent="0.4">
      <c r="A18" t="s">
        <v>37</v>
      </c>
      <c r="B18" s="150" t="s">
        <v>12</v>
      </c>
      <c r="C18" s="13"/>
      <c r="D18" s="9"/>
      <c r="E18" s="9"/>
      <c r="F18" s="36"/>
      <c r="G18" s="9"/>
      <c r="H18" s="181">
        <f t="shared" ref="H18:M18" si="18">H7/(H51-H62)</f>
        <v>0.34210526315789475</v>
      </c>
      <c r="I18" s="181">
        <f>I7/(I51-I62)</f>
        <v>0.375</v>
      </c>
      <c r="J18" s="181">
        <f t="shared" si="18"/>
        <v>1</v>
      </c>
      <c r="K18" s="181">
        <f t="shared" si="18"/>
        <v>1</v>
      </c>
      <c r="L18" s="181">
        <f t="shared" si="18"/>
        <v>0.83333333333333337</v>
      </c>
      <c r="M18" s="181">
        <f t="shared" si="18"/>
        <v>1</v>
      </c>
      <c r="N18" s="47"/>
      <c r="Q18" s="30"/>
      <c r="S18" s="30"/>
    </row>
    <row r="19" spans="1:19" hidden="1" outlineLevel="1" x14ac:dyDescent="0.4">
      <c r="A19" s="38" t="s">
        <v>38</v>
      </c>
      <c r="B19" s="41" t="s">
        <v>13</v>
      </c>
      <c r="C19" s="37"/>
      <c r="D19" s="41"/>
      <c r="E19" s="41"/>
      <c r="F19" s="42"/>
      <c r="G19" s="41"/>
      <c r="H19" s="48">
        <f t="shared" ref="H19:N19" si="19">-H8*H41</f>
        <v>0</v>
      </c>
      <c r="I19" s="48">
        <f>-I8*I41</f>
        <v>0</v>
      </c>
      <c r="J19" s="48">
        <f t="shared" si="19"/>
        <v>0</v>
      </c>
      <c r="K19" s="48">
        <f t="shared" si="19"/>
        <v>0</v>
      </c>
      <c r="L19" s="48">
        <f t="shared" si="19"/>
        <v>0</v>
      </c>
      <c r="M19" s="48">
        <f t="shared" si="19"/>
        <v>0</v>
      </c>
      <c r="N19" s="48">
        <f t="shared" si="19"/>
        <v>0</v>
      </c>
      <c r="Q19" s="30"/>
      <c r="S19" s="30"/>
    </row>
    <row r="20" spans="1:19" hidden="1" outlineLevel="1" x14ac:dyDescent="0.4">
      <c r="A20" t="s">
        <v>39</v>
      </c>
      <c r="B20" s="9" t="s">
        <v>2</v>
      </c>
      <c r="C20" s="13"/>
      <c r="D20" s="9"/>
      <c r="E20" s="9"/>
      <c r="F20" s="36"/>
      <c r="G20" s="9"/>
      <c r="H20" s="51">
        <f>H9/(H53-H64)</f>
        <v>0.61538461538461542</v>
      </c>
      <c r="I20" s="51" t="e">
        <f>I9/(I53-I64)</f>
        <v>#DIV/0!</v>
      </c>
      <c r="J20" s="51">
        <f t="shared" ref="J20:M20" si="20">J9/(J53-J64)</f>
        <v>0.5</v>
      </c>
      <c r="K20" s="51" t="e">
        <f t="shared" si="20"/>
        <v>#DIV/0!</v>
      </c>
      <c r="L20" s="51">
        <f t="shared" si="20"/>
        <v>0.4375</v>
      </c>
      <c r="M20" s="51" t="e">
        <f t="shared" si="20"/>
        <v>#DIV/0!</v>
      </c>
      <c r="N20" s="47">
        <f t="shared" ref="N20" si="21">-N9*N42</f>
        <v>0</v>
      </c>
      <c r="Q20" s="2"/>
    </row>
    <row r="21" spans="1:19" hidden="1" outlineLevel="1" x14ac:dyDescent="0.4">
      <c r="A21" s="38" t="s">
        <v>40</v>
      </c>
      <c r="B21" s="41" t="s">
        <v>14</v>
      </c>
      <c r="C21" s="37"/>
      <c r="D21" s="41"/>
      <c r="E21" s="41"/>
      <c r="F21" s="42"/>
      <c r="G21" s="41"/>
      <c r="H21" s="48">
        <f t="shared" ref="H21:N21" si="22">-H10*H43</f>
        <v>0</v>
      </c>
      <c r="I21" s="48">
        <f>-I10*I43</f>
        <v>0</v>
      </c>
      <c r="J21" s="48">
        <f t="shared" si="22"/>
        <v>0</v>
      </c>
      <c r="K21" s="48">
        <f t="shared" si="22"/>
        <v>0</v>
      </c>
      <c r="L21" s="48">
        <f t="shared" si="22"/>
        <v>0</v>
      </c>
      <c r="M21" s="48">
        <f t="shared" si="22"/>
        <v>0</v>
      </c>
      <c r="N21" s="48">
        <f t="shared" si="22"/>
        <v>0</v>
      </c>
    </row>
    <row r="22" spans="1:19" hidden="1" outlineLevel="1" x14ac:dyDescent="0.4">
      <c r="A22" s="38" t="s">
        <v>41</v>
      </c>
      <c r="B22" s="41" t="s">
        <v>15</v>
      </c>
      <c r="C22" s="37"/>
      <c r="D22" s="41"/>
      <c r="E22" s="41"/>
      <c r="F22" s="42"/>
      <c r="G22" s="41"/>
      <c r="H22" s="48">
        <f t="shared" ref="H22:N22" si="23">-H11*H44</f>
        <v>0</v>
      </c>
      <c r="I22" s="48">
        <f>-I11*I44</f>
        <v>0</v>
      </c>
      <c r="J22" s="48">
        <f t="shared" si="23"/>
        <v>0</v>
      </c>
      <c r="K22" s="48">
        <f t="shared" si="23"/>
        <v>0</v>
      </c>
      <c r="L22" s="48">
        <f t="shared" si="23"/>
        <v>0</v>
      </c>
      <c r="M22" s="48">
        <f t="shared" si="23"/>
        <v>0</v>
      </c>
      <c r="N22" s="48">
        <f t="shared" si="23"/>
        <v>0</v>
      </c>
    </row>
    <row r="23" spans="1:19" collapsed="1" x14ac:dyDescent="0.4"/>
    <row r="24" spans="1:19" x14ac:dyDescent="0.4">
      <c r="B24" t="s">
        <v>192</v>
      </c>
      <c r="F24" s="43"/>
    </row>
    <row r="25" spans="1:19" s="5" customFormat="1" ht="56.25" x14ac:dyDescent="0.4">
      <c r="B25" s="6" t="s">
        <v>16</v>
      </c>
      <c r="C25" s="39" t="s">
        <v>119</v>
      </c>
      <c r="D25" s="6"/>
      <c r="E25" s="6"/>
      <c r="F25" s="6"/>
      <c r="G25" s="6"/>
      <c r="H25" s="7" t="s">
        <v>558</v>
      </c>
      <c r="I25" s="8" t="s">
        <v>510</v>
      </c>
      <c r="J25" s="7" t="s">
        <v>512</v>
      </c>
      <c r="K25" s="8" t="s">
        <v>514</v>
      </c>
      <c r="L25" s="8" t="s">
        <v>519</v>
      </c>
      <c r="M25" s="8" t="s">
        <v>516</v>
      </c>
      <c r="N25" s="8" t="s">
        <v>110</v>
      </c>
      <c r="Q25"/>
    </row>
    <row r="26" spans="1:19" hidden="1" outlineLevel="1" x14ac:dyDescent="0.4">
      <c r="A26" t="s">
        <v>34</v>
      </c>
      <c r="B26" s="9" t="s">
        <v>7</v>
      </c>
      <c r="C26" s="13"/>
      <c r="D26" s="9"/>
      <c r="E26" s="9"/>
      <c r="F26" s="36"/>
      <c r="G26" s="9"/>
      <c r="H26" s="10">
        <f>'③-2_フラジリティ評価・スコア計算用'!X4</f>
        <v>7</v>
      </c>
      <c r="I26" s="10">
        <f>'③-2_フラジリティ評価・スコア計算用'!X47</f>
        <v>4</v>
      </c>
      <c r="J26" s="10">
        <f>'③-2_フラジリティ評価・スコア計算用'!X67</f>
        <v>0</v>
      </c>
      <c r="K26" s="10">
        <f>'③-2_フラジリティ評価・スコア計算用'!X82</f>
        <v>0</v>
      </c>
      <c r="L26" s="10">
        <f>'③-2_フラジリティ評価・スコア計算用'!X97</f>
        <v>0</v>
      </c>
      <c r="M26" s="13">
        <f>'③-2_フラジリティ評価・スコア計算用'!X114</f>
        <v>-1</v>
      </c>
      <c r="N26" s="13">
        <v>0</v>
      </c>
      <c r="Q26" s="30"/>
      <c r="S26" s="30"/>
    </row>
    <row r="27" spans="1:19" hidden="1" outlineLevel="1" x14ac:dyDescent="0.4">
      <c r="A27" t="s">
        <v>35</v>
      </c>
      <c r="B27" s="9" t="s">
        <v>8</v>
      </c>
      <c r="C27" s="13"/>
      <c r="D27" s="9"/>
      <c r="E27" s="9"/>
      <c r="F27" s="36"/>
      <c r="G27" s="9"/>
      <c r="H27" s="10">
        <f>'③-2_フラジリティ評価・スコア計算用'!Y4</f>
        <v>10</v>
      </c>
      <c r="I27" s="10">
        <f>'③-2_フラジリティ評価・スコア計算用'!Y47</f>
        <v>10</v>
      </c>
      <c r="J27" s="10">
        <f>'③-2_フラジリティ評価・スコア計算用'!Y67</f>
        <v>0</v>
      </c>
      <c r="K27" s="10">
        <f>'③-2_フラジリティ評価・スコア計算用'!Y82</f>
        <v>0</v>
      </c>
      <c r="L27" s="10">
        <f>'③-2_フラジリティ評価・スコア計算用'!Y97</f>
        <v>0</v>
      </c>
      <c r="M27" s="13">
        <f>'③-2_フラジリティ評価・スコア計算用'!Y114</f>
        <v>-2</v>
      </c>
      <c r="N27" s="13">
        <v>0</v>
      </c>
      <c r="Q27" s="30"/>
      <c r="S27" s="30"/>
    </row>
    <row r="28" spans="1:19" collapsed="1" x14ac:dyDescent="0.4">
      <c r="A28" t="s">
        <v>36</v>
      </c>
      <c r="B28" s="150" t="s">
        <v>1</v>
      </c>
      <c r="C28" s="13"/>
      <c r="D28" s="9"/>
      <c r="E28" s="9"/>
      <c r="F28" s="36"/>
      <c r="G28" s="9"/>
      <c r="H28" s="190">
        <f>'③-2_フラジリティ評価・スコア計算用'!Z4</f>
        <v>22</v>
      </c>
      <c r="I28" s="10"/>
      <c r="J28" s="10"/>
      <c r="K28" s="190">
        <f>'③-2_フラジリティ評価・スコア計算用'!Z82</f>
        <v>-1</v>
      </c>
      <c r="L28" s="190">
        <f>'③-2_フラジリティ評価・スコア計算用'!Z97</f>
        <v>-3</v>
      </c>
      <c r="M28" s="190">
        <f>'③-2_フラジリティ評価・スコア計算用'!Z114</f>
        <v>-2</v>
      </c>
      <c r="N28" s="13"/>
      <c r="Q28" s="30"/>
      <c r="S28" s="30"/>
    </row>
    <row r="29" spans="1:19" x14ac:dyDescent="0.4">
      <c r="A29" t="s">
        <v>37</v>
      </c>
      <c r="B29" s="150" t="s">
        <v>12</v>
      </c>
      <c r="C29" s="13"/>
      <c r="D29" s="9"/>
      <c r="E29" s="9"/>
      <c r="F29" s="36"/>
      <c r="G29" s="9"/>
      <c r="H29" s="190">
        <f>'③-2_フラジリティ評価・スコア計算用'!AA4</f>
        <v>18</v>
      </c>
      <c r="I29" s="190">
        <f>'③-2_フラジリティ評価・スコア計算用'!AA47</f>
        <v>14</v>
      </c>
      <c r="J29" s="190">
        <f>'③-2_フラジリティ評価・スコア計算用'!AA67</f>
        <v>0</v>
      </c>
      <c r="K29" s="190">
        <f>'③-2_フラジリティ評価・スコア計算用'!AA82</f>
        <v>-1</v>
      </c>
      <c r="L29" s="190">
        <f>'③-2_フラジリティ評価・スコア計算用'!AA97</f>
        <v>-4</v>
      </c>
      <c r="M29" s="190">
        <f>'③-2_フラジリティ評価・スコア計算用'!AA114</f>
        <v>-5</v>
      </c>
      <c r="N29" s="13"/>
      <c r="Q29" s="30"/>
      <c r="S29" s="30"/>
    </row>
    <row r="30" spans="1:19" hidden="1" outlineLevel="1" x14ac:dyDescent="0.4">
      <c r="A30" s="38" t="s">
        <v>38</v>
      </c>
      <c r="B30" s="41" t="s">
        <v>13</v>
      </c>
      <c r="C30" s="37"/>
      <c r="D30" s="41"/>
      <c r="E30" s="41"/>
      <c r="F30" s="42"/>
      <c r="G30" s="41"/>
      <c r="H30" s="37">
        <f>'③-2_フラジリティ評価・スコア計算用'!AB4</f>
        <v>0</v>
      </c>
      <c r="I30" s="37">
        <f>'③-2_フラジリティ評価・スコア計算用'!AB47</f>
        <v>0</v>
      </c>
      <c r="J30" s="37">
        <f>'③-2_フラジリティ評価・スコア計算用'!AB67</f>
        <v>0</v>
      </c>
      <c r="K30" s="37">
        <f>'③-2_フラジリティ評価・スコア計算用'!AB82</f>
        <v>0</v>
      </c>
      <c r="L30" s="37">
        <f>'③-2_フラジリティ評価・スコア計算用'!AB97</f>
        <v>0</v>
      </c>
      <c r="M30" s="37">
        <f>'③-2_フラジリティ評価・スコア計算用'!AB114</f>
        <v>0</v>
      </c>
      <c r="N30" s="37">
        <v>0</v>
      </c>
      <c r="Q30" s="30"/>
      <c r="S30" s="30"/>
    </row>
    <row r="31" spans="1:19" hidden="1" outlineLevel="1" x14ac:dyDescent="0.4">
      <c r="A31" t="s">
        <v>39</v>
      </c>
      <c r="B31" s="9" t="s">
        <v>2</v>
      </c>
      <c r="C31" s="13"/>
      <c r="D31" s="9"/>
      <c r="E31" s="9"/>
      <c r="F31" s="36"/>
      <c r="G31" s="9"/>
      <c r="H31" s="10">
        <f>'③-2_フラジリティ評価・スコア計算用'!AC4</f>
        <v>5</v>
      </c>
      <c r="I31" s="10">
        <f>'③-2_フラジリティ評価・スコア計算用'!AC47</f>
        <v>0</v>
      </c>
      <c r="J31" s="10">
        <f>'③-2_フラジリティ評価・スコア計算用'!AC67</f>
        <v>0</v>
      </c>
      <c r="K31" s="10">
        <f>'③-2_フラジリティ評価・スコア計算用'!AC82</f>
        <v>0</v>
      </c>
      <c r="L31" s="10">
        <f>'③-2_フラジリティ評価・スコア計算用'!AC97</f>
        <v>1</v>
      </c>
      <c r="M31" s="10">
        <f>'③-2_フラジリティ評価・スコア計算用'!AC114</f>
        <v>0</v>
      </c>
      <c r="N31" s="13">
        <v>0</v>
      </c>
      <c r="Q31" s="2"/>
    </row>
    <row r="32" spans="1:19" hidden="1" outlineLevel="1" x14ac:dyDescent="0.4">
      <c r="A32" s="38" t="s">
        <v>40</v>
      </c>
      <c r="B32" s="41" t="s">
        <v>14</v>
      </c>
      <c r="C32" s="37"/>
      <c r="D32" s="41"/>
      <c r="E32" s="41"/>
      <c r="F32" s="42"/>
      <c r="G32" s="41"/>
      <c r="H32" s="37">
        <f>'③-2_フラジリティ評価・スコア計算用'!AD4</f>
        <v>0</v>
      </c>
      <c r="I32" s="37">
        <f>'③-2_フラジリティ評価・スコア計算用'!AD47</f>
        <v>0</v>
      </c>
      <c r="J32" s="37">
        <f>'③-2_フラジリティ評価・スコア計算用'!AD67</f>
        <v>0</v>
      </c>
      <c r="K32" s="37">
        <f>'③-2_フラジリティ評価・スコア計算用'!AD82</f>
        <v>0</v>
      </c>
      <c r="L32" s="37">
        <f>'③-2_フラジリティ評価・スコア計算用'!AD97</f>
        <v>0</v>
      </c>
      <c r="M32" s="37">
        <f>'③-2_フラジリティ評価・スコア計算用'!AD114</f>
        <v>0</v>
      </c>
      <c r="N32" s="37">
        <v>0</v>
      </c>
    </row>
    <row r="33" spans="1:22" hidden="1" outlineLevel="1" x14ac:dyDescent="0.4">
      <c r="A33" s="38" t="s">
        <v>41</v>
      </c>
      <c r="B33" s="41" t="s">
        <v>15</v>
      </c>
      <c r="C33" s="37"/>
      <c r="D33" s="41"/>
      <c r="E33" s="41"/>
      <c r="F33" s="42"/>
      <c r="G33" s="41"/>
      <c r="H33" s="37">
        <f>'③-2_フラジリティ評価・スコア計算用'!AE4</f>
        <v>0</v>
      </c>
      <c r="I33" s="37">
        <f>'③-2_フラジリティ評価・スコア計算用'!AE47</f>
        <v>0</v>
      </c>
      <c r="J33" s="37">
        <f>'③-2_フラジリティ評価・スコア計算用'!AE67</f>
        <v>0</v>
      </c>
      <c r="K33" s="37">
        <f>'③-2_フラジリティ評価・スコア計算用'!AE82</f>
        <v>0</v>
      </c>
      <c r="L33" s="37">
        <f>'③-2_フラジリティ評価・スコア計算用'!AE97</f>
        <v>0</v>
      </c>
      <c r="M33" s="37">
        <f>'③-2_フラジリティ評価・スコア計算用'!AE114</f>
        <v>0</v>
      </c>
      <c r="N33" s="37">
        <v>0</v>
      </c>
    </row>
    <row r="34" spans="1:22" collapsed="1" x14ac:dyDescent="0.4"/>
    <row r="35" spans="1:22" hidden="1" outlineLevel="1" x14ac:dyDescent="0.4">
      <c r="B35" t="s">
        <v>24</v>
      </c>
    </row>
    <row r="36" spans="1:22" ht="56.25" hidden="1" outlineLevel="1" x14ac:dyDescent="0.4">
      <c r="B36" s="6" t="s">
        <v>16</v>
      </c>
      <c r="C36" s="39"/>
      <c r="D36" s="6"/>
      <c r="E36" s="6"/>
      <c r="F36" s="6"/>
      <c r="G36" s="6" t="s">
        <v>22</v>
      </c>
      <c r="H36" s="7" t="s">
        <v>558</v>
      </c>
      <c r="I36" s="8" t="s">
        <v>510</v>
      </c>
      <c r="J36" s="7" t="s">
        <v>512</v>
      </c>
      <c r="K36" s="8" t="s">
        <v>514</v>
      </c>
      <c r="L36" s="8" t="s">
        <v>519</v>
      </c>
      <c r="M36" s="8" t="s">
        <v>516</v>
      </c>
      <c r="N36" s="8" t="s">
        <v>110</v>
      </c>
      <c r="O36" s="199"/>
      <c r="P36" s="200" t="s">
        <v>194</v>
      </c>
    </row>
    <row r="37" spans="1:22" hidden="1" outlineLevel="1" x14ac:dyDescent="0.4">
      <c r="B37" s="9" t="s">
        <v>7</v>
      </c>
      <c r="C37" s="13"/>
      <c r="D37" s="9"/>
      <c r="E37" s="9"/>
      <c r="F37" s="9"/>
      <c r="G37" s="11">
        <f t="shared" ref="G37:G44" si="24">SUM(H37:M37)</f>
        <v>8.5</v>
      </c>
      <c r="H37" s="12">
        <f>(1-Q48)*$P37</f>
        <v>0.7589285714285714</v>
      </c>
      <c r="I37" s="12">
        <f>(1-S48)*$P37</f>
        <v>1.4875</v>
      </c>
      <c r="J37" s="12">
        <f>(1-R48)*$P37</f>
        <v>1.4875</v>
      </c>
      <c r="K37" s="12">
        <f t="shared" ref="K37:M40" si="25">(1-T48)*$P37</f>
        <v>1.5482142857142855</v>
      </c>
      <c r="L37" s="12">
        <f t="shared" si="25"/>
        <v>1.5785714285714285</v>
      </c>
      <c r="M37" s="12">
        <f t="shared" si="25"/>
        <v>1.6392857142857142</v>
      </c>
      <c r="N37" s="12">
        <v>1</v>
      </c>
      <c r="P37">
        <v>1.7</v>
      </c>
    </row>
    <row r="38" spans="1:22" s="5" customFormat="1" hidden="1" outlineLevel="1" x14ac:dyDescent="0.4">
      <c r="B38" s="9" t="s">
        <v>8</v>
      </c>
      <c r="C38" s="13"/>
      <c r="D38" s="9"/>
      <c r="E38" s="9"/>
      <c r="F38" s="9"/>
      <c r="G38" s="11">
        <f t="shared" si="24"/>
        <v>5</v>
      </c>
      <c r="H38" s="12">
        <f t="shared" ref="H38:H40" si="26">(1-Q49)*$P38</f>
        <v>0.76470588235294112</v>
      </c>
      <c r="I38" s="12">
        <f>(1-S49)*$P38</f>
        <v>0.67058823529411771</v>
      </c>
      <c r="J38" s="12">
        <f t="shared" ref="J38:J40" si="27">(1-R49)*$P38</f>
        <v>0.76470588235294112</v>
      </c>
      <c r="K38" s="12">
        <f t="shared" si="25"/>
        <v>0.87058823529411766</v>
      </c>
      <c r="L38" s="12">
        <f t="shared" si="25"/>
        <v>0.96470588235294119</v>
      </c>
      <c r="M38" s="12">
        <f t="shared" si="25"/>
        <v>0.96470588235294119</v>
      </c>
      <c r="N38" s="12">
        <v>1</v>
      </c>
      <c r="P38" s="5">
        <v>1</v>
      </c>
    </row>
    <row r="39" spans="1:22" hidden="1" outlineLevel="1" x14ac:dyDescent="0.4">
      <c r="B39" s="150" t="s">
        <v>1</v>
      </c>
      <c r="C39" s="13"/>
      <c r="D39" s="9"/>
      <c r="E39" s="9"/>
      <c r="F39" s="9"/>
      <c r="G39" s="11">
        <f t="shared" si="24"/>
        <v>2.4000000000000004</v>
      </c>
      <c r="H39" s="12">
        <f t="shared" si="26"/>
        <v>0.22400000000000003</v>
      </c>
      <c r="I39" s="12"/>
      <c r="J39" s="12"/>
      <c r="K39" s="12">
        <f t="shared" si="25"/>
        <v>0.752</v>
      </c>
      <c r="L39" s="12">
        <f t="shared" si="25"/>
        <v>0.65600000000000014</v>
      </c>
      <c r="M39" s="12">
        <f t="shared" si="25"/>
        <v>0.76800000000000002</v>
      </c>
      <c r="N39" s="12">
        <v>1</v>
      </c>
      <c r="P39">
        <v>0.8</v>
      </c>
    </row>
    <row r="40" spans="1:22" hidden="1" outlineLevel="1" x14ac:dyDescent="0.4">
      <c r="B40" s="150" t="s">
        <v>12</v>
      </c>
      <c r="C40" s="13"/>
      <c r="D40" s="9"/>
      <c r="E40" s="9"/>
      <c r="F40" s="9"/>
      <c r="G40" s="11">
        <f t="shared" si="24"/>
        <v>2.7500000000000004</v>
      </c>
      <c r="H40" s="12">
        <f t="shared" si="26"/>
        <v>0.39911504424778765</v>
      </c>
      <c r="I40" s="12">
        <f>(1-S51)*$P40</f>
        <v>0.42345132743362834</v>
      </c>
      <c r="J40" s="12">
        <f t="shared" si="27"/>
        <v>0.43318584070796462</v>
      </c>
      <c r="K40" s="12">
        <f t="shared" si="25"/>
        <v>0.44778761061946903</v>
      </c>
      <c r="L40" s="12">
        <f t="shared" si="25"/>
        <v>0.52079646017699122</v>
      </c>
      <c r="M40" s="12">
        <f t="shared" si="25"/>
        <v>0.52566371681415935</v>
      </c>
      <c r="N40" s="12">
        <v>1</v>
      </c>
      <c r="P40">
        <v>0.55000000000000004</v>
      </c>
    </row>
    <row r="41" spans="1:22" hidden="1" outlineLevel="1" x14ac:dyDescent="0.4">
      <c r="B41" s="9" t="s">
        <v>13</v>
      </c>
      <c r="C41" s="13"/>
      <c r="D41" s="9"/>
      <c r="E41" s="9"/>
      <c r="F41" s="9"/>
      <c r="G41" s="11">
        <f t="shared" si="24"/>
        <v>6</v>
      </c>
      <c r="H41" s="12">
        <v>1</v>
      </c>
      <c r="I41" s="12">
        <v>1</v>
      </c>
      <c r="J41" s="12">
        <v>1</v>
      </c>
      <c r="K41" s="12">
        <v>1</v>
      </c>
      <c r="L41" s="12">
        <v>1</v>
      </c>
      <c r="M41" s="12">
        <v>1</v>
      </c>
      <c r="N41" s="12">
        <v>0.1</v>
      </c>
    </row>
    <row r="42" spans="1:22" hidden="1" outlineLevel="1" x14ac:dyDescent="0.4">
      <c r="B42" s="9" t="s">
        <v>2</v>
      </c>
      <c r="C42" s="13"/>
      <c r="D42" s="9"/>
      <c r="E42" s="9"/>
      <c r="F42" s="9"/>
      <c r="G42" s="11">
        <f t="shared" si="24"/>
        <v>5.5</v>
      </c>
      <c r="H42" s="12">
        <f>(1-Q53)*$P42</f>
        <v>0.35483870967741943</v>
      </c>
      <c r="I42" s="12">
        <f>(1-S53)*$P42</f>
        <v>1.1000000000000001</v>
      </c>
      <c r="J42" s="12">
        <f t="shared" ref="J42" si="28">(1-R53)*$P42</f>
        <v>1.0290322580645164</v>
      </c>
      <c r="K42" s="12">
        <f>(1-T53)*$P42</f>
        <v>1.1000000000000001</v>
      </c>
      <c r="L42" s="12">
        <f>(1-U53)*$P42</f>
        <v>0.81612903225806455</v>
      </c>
      <c r="M42" s="12">
        <f>(1-V53)*$P42</f>
        <v>1.1000000000000001</v>
      </c>
      <c r="N42" s="12">
        <v>1</v>
      </c>
      <c r="P42">
        <v>1.1000000000000001</v>
      </c>
    </row>
    <row r="43" spans="1:22" hidden="1" outlineLevel="1" x14ac:dyDescent="0.4">
      <c r="B43" s="9" t="s">
        <v>14</v>
      </c>
      <c r="C43" s="13"/>
      <c r="D43" s="9"/>
      <c r="E43" s="9"/>
      <c r="F43" s="9"/>
      <c r="G43" s="11">
        <f t="shared" si="24"/>
        <v>6</v>
      </c>
      <c r="H43" s="12">
        <v>1</v>
      </c>
      <c r="I43" s="12">
        <v>1</v>
      </c>
      <c r="J43" s="12">
        <v>1</v>
      </c>
      <c r="K43" s="12">
        <v>1</v>
      </c>
      <c r="L43" s="12">
        <v>1</v>
      </c>
      <c r="M43" s="12">
        <v>1</v>
      </c>
      <c r="N43" s="12">
        <v>0.1</v>
      </c>
    </row>
    <row r="44" spans="1:22" hidden="1" outlineLevel="1" x14ac:dyDescent="0.4">
      <c r="B44" s="9" t="s">
        <v>15</v>
      </c>
      <c r="C44" s="13"/>
      <c r="D44" s="9"/>
      <c r="E44" s="9"/>
      <c r="F44" s="9"/>
      <c r="G44" s="11">
        <f t="shared" si="24"/>
        <v>6</v>
      </c>
      <c r="H44" s="12">
        <v>1</v>
      </c>
      <c r="I44" s="12">
        <v>1</v>
      </c>
      <c r="J44" s="12">
        <v>1</v>
      </c>
      <c r="K44" s="12">
        <v>1</v>
      </c>
      <c r="L44" s="12">
        <v>1</v>
      </c>
      <c r="M44" s="12">
        <v>1</v>
      </c>
      <c r="N44" s="12">
        <v>0.1</v>
      </c>
    </row>
    <row r="45" spans="1:22" hidden="1" outlineLevel="1" x14ac:dyDescent="0.4"/>
    <row r="46" spans="1:22" collapsed="1" x14ac:dyDescent="0.4">
      <c r="B46" t="s">
        <v>190</v>
      </c>
      <c r="F46" t="s">
        <v>64</v>
      </c>
    </row>
    <row r="47" spans="1:22" ht="56.25" x14ac:dyDescent="0.4">
      <c r="B47" s="6" t="s">
        <v>16</v>
      </c>
      <c r="C47" s="39" t="s">
        <v>119</v>
      </c>
      <c r="D47" s="6" t="s">
        <v>19</v>
      </c>
      <c r="E47" s="6" t="s">
        <v>20</v>
      </c>
      <c r="F47" s="6" t="s">
        <v>63</v>
      </c>
      <c r="G47" s="6" t="s">
        <v>23</v>
      </c>
      <c r="H47" s="7" t="s">
        <v>558</v>
      </c>
      <c r="I47" s="8" t="s">
        <v>510</v>
      </c>
      <c r="J47" s="7" t="s">
        <v>512</v>
      </c>
      <c r="K47" s="8" t="s">
        <v>514</v>
      </c>
      <c r="L47" s="8" t="s">
        <v>519</v>
      </c>
      <c r="M47" s="8" t="s">
        <v>516</v>
      </c>
      <c r="N47" s="8" t="s">
        <v>110</v>
      </c>
    </row>
    <row r="48" spans="1:22" hidden="1" outlineLevel="1" x14ac:dyDescent="0.4">
      <c r="B48" s="9" t="s">
        <v>7</v>
      </c>
      <c r="C48" s="13"/>
      <c r="D48" s="9"/>
      <c r="E48" s="9"/>
      <c r="F48" s="36"/>
      <c r="G48" s="9" t="e">
        <f>H48*H70+J48*J70+I48*I70+#REF!*#REF!+#REF!*#REF!+K48*K70+L48*L70+M48*M70+N48*N70</f>
        <v>#REF!</v>
      </c>
      <c r="H48" s="10">
        <v>31</v>
      </c>
      <c r="I48" s="10">
        <v>7</v>
      </c>
      <c r="J48" s="10">
        <v>7</v>
      </c>
      <c r="K48" s="10">
        <v>5</v>
      </c>
      <c r="L48" s="10">
        <v>4</v>
      </c>
      <c r="M48" s="13">
        <v>2</v>
      </c>
      <c r="N48" s="13"/>
      <c r="O48">
        <f>SUM(H48:M48)</f>
        <v>56</v>
      </c>
      <c r="Q48" s="44">
        <f>H48/$O48</f>
        <v>0.5535714285714286</v>
      </c>
      <c r="R48" s="44">
        <f>J48/$O48</f>
        <v>0.125</v>
      </c>
      <c r="S48" s="44">
        <f>I48/$O48</f>
        <v>0.125</v>
      </c>
      <c r="T48" s="44">
        <f t="shared" ref="T48:V51" si="29">K48/$O48</f>
        <v>8.9285714285714288E-2</v>
      </c>
      <c r="U48" s="44">
        <f t="shared" si="29"/>
        <v>7.1428571428571425E-2</v>
      </c>
      <c r="V48" s="44">
        <f t="shared" si="29"/>
        <v>3.5714285714285712E-2</v>
      </c>
    </row>
    <row r="49" spans="2:22" hidden="1" outlineLevel="1" x14ac:dyDescent="0.4">
      <c r="B49" s="9" t="s">
        <v>8</v>
      </c>
      <c r="C49" s="13"/>
      <c r="D49" s="9"/>
      <c r="E49" s="9"/>
      <c r="F49" s="36"/>
      <c r="G49" s="9" t="e">
        <f>H49*H71+J49*J71+I49*I71+#REF!*#REF!+#REF!*#REF!+K49*K71+L49*L71+M49*M71+N49*N71</f>
        <v>#REF!</v>
      </c>
      <c r="H49" s="10">
        <v>20</v>
      </c>
      <c r="I49" s="10">
        <v>28</v>
      </c>
      <c r="J49" s="10">
        <v>20</v>
      </c>
      <c r="K49" s="10">
        <v>11</v>
      </c>
      <c r="L49" s="10">
        <v>3</v>
      </c>
      <c r="M49" s="13">
        <v>3</v>
      </c>
      <c r="N49" s="13"/>
      <c r="O49">
        <f>SUM(H49:M49)</f>
        <v>85</v>
      </c>
      <c r="Q49" s="44">
        <f>H49/$O49</f>
        <v>0.23529411764705882</v>
      </c>
      <c r="R49" s="44">
        <f>J49/$O49</f>
        <v>0.23529411764705882</v>
      </c>
      <c r="S49" s="44">
        <f>I49/$O49</f>
        <v>0.32941176470588235</v>
      </c>
      <c r="T49" s="44">
        <f t="shared" si="29"/>
        <v>0.12941176470588237</v>
      </c>
      <c r="U49" s="44">
        <f t="shared" si="29"/>
        <v>3.5294117647058823E-2</v>
      </c>
      <c r="V49" s="44">
        <f t="shared" si="29"/>
        <v>3.5294117647058823E-2</v>
      </c>
    </row>
    <row r="50" spans="2:22" collapsed="1" x14ac:dyDescent="0.4">
      <c r="B50" s="150" t="s">
        <v>1</v>
      </c>
      <c r="C50" s="13"/>
      <c r="D50" s="9"/>
      <c r="E50" s="9"/>
      <c r="F50" s="36"/>
      <c r="G50" s="150" t="e">
        <f>H50*H72+J50*J72+I50*I72+#REF!*#REF!+#REF!*#REF!+K50*K72+L50*L72+M50*M72+N50*N72</f>
        <v>#REF!</v>
      </c>
      <c r="H50" s="190">
        <f>'③-2_フラジリティ評価・スコア計算用'!AH4</f>
        <v>36</v>
      </c>
      <c r="I50" s="10"/>
      <c r="J50" s="10"/>
      <c r="K50" s="190">
        <f>'③-2_フラジリティ評価・スコア計算用'!AH82</f>
        <v>3</v>
      </c>
      <c r="L50" s="190">
        <f>'③-2_フラジリティ評価・スコア計算用'!AH97</f>
        <v>9</v>
      </c>
      <c r="M50" s="190">
        <f>'③-2_フラジリティ評価・スコア計算用'!AH114</f>
        <v>2</v>
      </c>
      <c r="N50" s="10"/>
      <c r="O50">
        <f>SUM(H50:M50)</f>
        <v>50</v>
      </c>
      <c r="Q50" s="44">
        <f>H50/$O50</f>
        <v>0.72</v>
      </c>
      <c r="R50" s="44"/>
      <c r="S50" s="44"/>
      <c r="T50" s="44">
        <f t="shared" si="29"/>
        <v>0.06</v>
      </c>
      <c r="U50" s="44">
        <f t="shared" si="29"/>
        <v>0.18</v>
      </c>
      <c r="V50" s="44">
        <f t="shared" si="29"/>
        <v>0.04</v>
      </c>
    </row>
    <row r="51" spans="2:22" x14ac:dyDescent="0.4">
      <c r="B51" s="150" t="s">
        <v>12</v>
      </c>
      <c r="C51" s="13"/>
      <c r="D51" s="9"/>
      <c r="E51" s="9"/>
      <c r="F51" s="36"/>
      <c r="G51" s="150" t="e">
        <f>H51*H73+J51*J73+I51*I73+#REF!*#REF!+#REF!*#REF!+K51*K73+L51*L73+M51*M73+N51*N73</f>
        <v>#REF!</v>
      </c>
      <c r="H51" s="190">
        <f>'③-2_フラジリティ評価・スコア計算用'!AI4</f>
        <v>31</v>
      </c>
      <c r="I51" s="190">
        <f>'③-2_フラジリティ評価・スコア計算用'!AI47</f>
        <v>26</v>
      </c>
      <c r="J51" s="190">
        <f>'③-2_フラジリティ評価・スコア計算用'!AI67</f>
        <v>24</v>
      </c>
      <c r="K51" s="190">
        <f>'③-2_フラジリティ評価・スコア計算用'!AI82</f>
        <v>21</v>
      </c>
      <c r="L51" s="190">
        <f>'③-2_フラジリティ評価・スコア計算用'!AI97</f>
        <v>6</v>
      </c>
      <c r="M51" s="190">
        <f>'③-2_フラジリティ評価・スコア計算用'!AI114</f>
        <v>5</v>
      </c>
      <c r="N51" s="10"/>
      <c r="O51">
        <f>SUM(H51:M51)</f>
        <v>113</v>
      </c>
      <c r="Q51" s="44">
        <f>H51/$O51</f>
        <v>0.27433628318584069</v>
      </c>
      <c r="R51" s="44">
        <f>J51/$O51</f>
        <v>0.21238938053097345</v>
      </c>
      <c r="S51" s="44">
        <f>I51/$O51</f>
        <v>0.23008849557522124</v>
      </c>
      <c r="T51" s="44">
        <f t="shared" si="29"/>
        <v>0.18584070796460178</v>
      </c>
      <c r="U51" s="44">
        <f t="shared" si="29"/>
        <v>5.3097345132743362E-2</v>
      </c>
      <c r="V51" s="44">
        <f t="shared" si="29"/>
        <v>4.4247787610619468E-2</v>
      </c>
    </row>
    <row r="52" spans="2:22" hidden="1" outlineLevel="1" x14ac:dyDescent="0.4">
      <c r="B52" s="41" t="s">
        <v>13</v>
      </c>
      <c r="C52" s="37"/>
      <c r="D52" s="41"/>
      <c r="E52" s="41"/>
      <c r="F52" s="42"/>
      <c r="G52" s="41" t="e">
        <f>H52*H74+J52*J74+I52*I74+#REF!*#REF!+#REF!*#REF!+K52*K74+L52*L74+M52*M74+N52*N74</f>
        <v>#REF!</v>
      </c>
      <c r="H52" s="37">
        <v>0</v>
      </c>
      <c r="I52" s="37">
        <v>0</v>
      </c>
      <c r="J52" s="37">
        <v>0</v>
      </c>
      <c r="K52" s="37">
        <v>0</v>
      </c>
      <c r="L52" s="37">
        <v>0</v>
      </c>
      <c r="M52" s="37">
        <v>0</v>
      </c>
      <c r="N52" s="37"/>
      <c r="Q52" s="44"/>
      <c r="R52" s="44"/>
      <c r="S52" s="44"/>
      <c r="T52" s="44"/>
      <c r="U52" s="44"/>
      <c r="V52" s="44"/>
    </row>
    <row r="53" spans="2:22" hidden="1" outlineLevel="1" x14ac:dyDescent="0.4">
      <c r="B53" s="9" t="s">
        <v>2</v>
      </c>
      <c r="C53" s="13"/>
      <c r="D53" s="9"/>
      <c r="E53" s="9"/>
      <c r="F53" s="36"/>
      <c r="G53" s="9" t="e">
        <f>H53*H75+J53*J75+I53*I75+#REF!*#REF!+#REF!*#REF!+K53*K75+L53*L75+M53*M75+N53*N75</f>
        <v>#REF!</v>
      </c>
      <c r="H53" s="10">
        <v>21</v>
      </c>
      <c r="I53" s="10">
        <v>0</v>
      </c>
      <c r="J53" s="10">
        <v>2</v>
      </c>
      <c r="K53" s="10">
        <v>0</v>
      </c>
      <c r="L53" s="10">
        <v>8</v>
      </c>
      <c r="M53" s="10">
        <v>0</v>
      </c>
      <c r="N53" s="13"/>
      <c r="O53">
        <f>SUM(H53:M53)</f>
        <v>31</v>
      </c>
      <c r="Q53" s="44">
        <f>H53/$O53</f>
        <v>0.67741935483870963</v>
      </c>
      <c r="R53" s="44">
        <f>J53/$O53</f>
        <v>6.4516129032258063E-2</v>
      </c>
      <c r="S53" s="44">
        <f>I53/$O53</f>
        <v>0</v>
      </c>
      <c r="T53" s="44">
        <f>K53/$O53</f>
        <v>0</v>
      </c>
      <c r="U53" s="44">
        <f>L53/$O53</f>
        <v>0.25806451612903225</v>
      </c>
      <c r="V53" s="44">
        <f>M53/$O53</f>
        <v>0</v>
      </c>
    </row>
    <row r="54" spans="2:22" hidden="1" outlineLevel="1" x14ac:dyDescent="0.4">
      <c r="B54" s="41" t="s">
        <v>14</v>
      </c>
      <c r="C54" s="37"/>
      <c r="D54" s="41"/>
      <c r="E54" s="41"/>
      <c r="F54" s="42"/>
      <c r="G54" s="41" t="e">
        <f>H54*H76+J54*J76+I54*I76+#REF!*#REF!+#REF!*#REF!+K54*K76+L54*L76+M54*M76+N54*N76</f>
        <v>#REF!</v>
      </c>
      <c r="H54" s="37">
        <v>0</v>
      </c>
      <c r="I54" s="37">
        <v>0</v>
      </c>
      <c r="J54" s="37">
        <v>0</v>
      </c>
      <c r="K54" s="37">
        <v>0</v>
      </c>
      <c r="L54" s="37">
        <v>0</v>
      </c>
      <c r="M54" s="37">
        <v>0</v>
      </c>
      <c r="N54" s="37"/>
      <c r="Q54" s="44"/>
      <c r="R54" s="44"/>
      <c r="S54" s="44"/>
      <c r="T54" s="44"/>
      <c r="U54" s="44"/>
      <c r="V54" s="44"/>
    </row>
    <row r="55" spans="2:22" hidden="1" outlineLevel="1" x14ac:dyDescent="0.4">
      <c r="B55" s="41" t="s">
        <v>15</v>
      </c>
      <c r="C55" s="37"/>
      <c r="D55" s="41"/>
      <c r="E55" s="41"/>
      <c r="F55" s="42"/>
      <c r="G55" s="41" t="e">
        <f>H55*H77+J55*J77+I55*I77+#REF!*#REF!+#REF!*#REF!+K55*K77+L55*L77+M55*M77+N55*N77</f>
        <v>#REF!</v>
      </c>
      <c r="H55" s="37">
        <v>0</v>
      </c>
      <c r="I55" s="37">
        <v>0</v>
      </c>
      <c r="J55" s="37">
        <v>0</v>
      </c>
      <c r="K55" s="37">
        <v>0</v>
      </c>
      <c r="L55" s="37">
        <v>0</v>
      </c>
      <c r="M55" s="37">
        <v>0</v>
      </c>
      <c r="N55" s="37"/>
      <c r="Q55" s="44"/>
      <c r="R55" s="44"/>
      <c r="S55" s="44"/>
      <c r="T55" s="44"/>
      <c r="U55" s="44"/>
      <c r="V55" s="44"/>
    </row>
    <row r="56" spans="2:22" collapsed="1" x14ac:dyDescent="0.4"/>
    <row r="57" spans="2:22" x14ac:dyDescent="0.4">
      <c r="B57" t="s">
        <v>193</v>
      </c>
      <c r="F57" t="s">
        <v>64</v>
      </c>
    </row>
    <row r="58" spans="2:22" ht="56.25" x14ac:dyDescent="0.4">
      <c r="B58" s="6" t="s">
        <v>16</v>
      </c>
      <c r="C58" s="39" t="s">
        <v>119</v>
      </c>
      <c r="D58" s="6" t="s">
        <v>19</v>
      </c>
      <c r="E58" s="6" t="s">
        <v>20</v>
      </c>
      <c r="F58" s="6" t="s">
        <v>63</v>
      </c>
      <c r="G58" s="6" t="s">
        <v>23</v>
      </c>
      <c r="H58" s="7" t="s">
        <v>558</v>
      </c>
      <c r="I58" s="8" t="s">
        <v>510</v>
      </c>
      <c r="J58" s="7" t="s">
        <v>512</v>
      </c>
      <c r="K58" s="8" t="s">
        <v>514</v>
      </c>
      <c r="L58" s="8" t="s">
        <v>519</v>
      </c>
      <c r="M58" s="8" t="s">
        <v>516</v>
      </c>
      <c r="N58" s="8" t="s">
        <v>110</v>
      </c>
    </row>
    <row r="59" spans="2:22" hidden="1" outlineLevel="1" x14ac:dyDescent="0.4">
      <c r="B59" s="9" t="s">
        <v>7</v>
      </c>
      <c r="C59" s="13"/>
      <c r="D59" s="9"/>
      <c r="E59" s="9"/>
      <c r="F59" s="36"/>
      <c r="G59" s="9"/>
      <c r="H59" s="10">
        <v>-7</v>
      </c>
      <c r="I59" s="10">
        <v>-3</v>
      </c>
      <c r="J59" s="10">
        <v>-7</v>
      </c>
      <c r="K59" s="10">
        <v>-1</v>
      </c>
      <c r="L59" s="10">
        <v>-4</v>
      </c>
      <c r="M59" s="13">
        <v>-2</v>
      </c>
      <c r="N59" s="13"/>
    </row>
    <row r="60" spans="2:22" hidden="1" outlineLevel="1" x14ac:dyDescent="0.4">
      <c r="B60" s="9" t="s">
        <v>8</v>
      </c>
      <c r="C60" s="13"/>
      <c r="D60" s="9"/>
      <c r="E60" s="9"/>
      <c r="F60" s="36"/>
      <c r="G60" s="9"/>
      <c r="H60" s="10">
        <v>-4</v>
      </c>
      <c r="I60" s="10">
        <v>-2</v>
      </c>
      <c r="J60" s="10">
        <v>0</v>
      </c>
      <c r="K60" s="10">
        <v>-3</v>
      </c>
      <c r="L60" s="10">
        <v>-3</v>
      </c>
      <c r="M60" s="13">
        <v>-3</v>
      </c>
      <c r="N60" s="13"/>
    </row>
    <row r="61" spans="2:22" collapsed="1" x14ac:dyDescent="0.4">
      <c r="B61" s="150" t="s">
        <v>1</v>
      </c>
      <c r="C61" s="13"/>
      <c r="D61" s="9"/>
      <c r="E61" s="9"/>
      <c r="F61" s="36"/>
      <c r="G61" s="9"/>
      <c r="H61" s="190">
        <f>'③-2_フラジリティ評価・スコア計算用'!AP4</f>
        <v>-2</v>
      </c>
      <c r="I61" s="10"/>
      <c r="J61" s="10"/>
      <c r="K61" s="190">
        <f>'③-2_フラジリティ評価・スコア計算用'!AP82</f>
        <v>-1</v>
      </c>
      <c r="L61" s="190">
        <f>'③-2_フラジリティ評価・スコア計算用'!AP97</f>
        <v>-9</v>
      </c>
      <c r="M61" s="190">
        <f>'③-2_フラジリティ評価・スコア計算用'!AP114</f>
        <v>-2</v>
      </c>
      <c r="N61" s="10"/>
    </row>
    <row r="62" spans="2:22" x14ac:dyDescent="0.4">
      <c r="B62" s="150" t="s">
        <v>12</v>
      </c>
      <c r="C62" s="13"/>
      <c r="D62" s="9"/>
      <c r="E62" s="9"/>
      <c r="F62" s="36"/>
      <c r="G62" s="9"/>
      <c r="H62" s="190">
        <f>'③-2_フラジリティ評価・スコア計算用'!AQ4</f>
        <v>-7</v>
      </c>
      <c r="I62" s="190">
        <f>'③-2_フラジリティ評価・スコア計算用'!AQ47</f>
        <v>-6</v>
      </c>
      <c r="J62" s="190">
        <f>'③-2_フラジリティ評価・スコア計算用'!AQ67</f>
        <v>0</v>
      </c>
      <c r="K62" s="190">
        <f>'③-2_フラジリティ評価・スコア計算用'!AQ82</f>
        <v>-1</v>
      </c>
      <c r="L62" s="190">
        <f>'③-2_フラジリティ評価・スコア計算用'!AQ97</f>
        <v>-6</v>
      </c>
      <c r="M62" s="190">
        <f>'③-2_フラジリティ評価・スコア計算用'!AQ114</f>
        <v>-5</v>
      </c>
      <c r="N62" s="10"/>
    </row>
    <row r="63" spans="2:22" hidden="1" outlineLevel="1" x14ac:dyDescent="0.4">
      <c r="B63" s="41" t="s">
        <v>13</v>
      </c>
      <c r="C63" s="37"/>
      <c r="D63" s="41"/>
      <c r="E63" s="41"/>
      <c r="F63" s="42"/>
      <c r="G63" s="41"/>
      <c r="H63" s="37">
        <v>0</v>
      </c>
      <c r="I63" s="37">
        <v>0</v>
      </c>
      <c r="J63" s="37">
        <v>0</v>
      </c>
      <c r="K63" s="37">
        <v>0</v>
      </c>
      <c r="L63" s="37">
        <v>0</v>
      </c>
      <c r="M63" s="37">
        <v>0</v>
      </c>
      <c r="N63" s="37"/>
    </row>
    <row r="64" spans="2:22" hidden="1" outlineLevel="1" x14ac:dyDescent="0.4">
      <c r="B64" s="9" t="s">
        <v>2</v>
      </c>
      <c r="C64" s="13"/>
      <c r="D64" s="9"/>
      <c r="E64" s="9"/>
      <c r="F64" s="36"/>
      <c r="G64" s="9"/>
      <c r="H64" s="10">
        <v>-5</v>
      </c>
      <c r="I64" s="10">
        <v>0</v>
      </c>
      <c r="J64" s="10">
        <v>-2</v>
      </c>
      <c r="K64" s="10">
        <v>0</v>
      </c>
      <c r="L64" s="10">
        <v>-8</v>
      </c>
      <c r="M64" s="10">
        <v>0</v>
      </c>
      <c r="N64" s="13"/>
    </row>
    <row r="65" spans="1:14" hidden="1" outlineLevel="1" x14ac:dyDescent="0.4">
      <c r="B65" s="41" t="s">
        <v>14</v>
      </c>
      <c r="C65" s="37"/>
      <c r="D65" s="41"/>
      <c r="E65" s="41"/>
      <c r="F65" s="42"/>
      <c r="G65" s="41"/>
      <c r="H65" s="37">
        <v>0</v>
      </c>
      <c r="I65" s="37">
        <v>0</v>
      </c>
      <c r="J65" s="37">
        <v>0</v>
      </c>
      <c r="K65" s="37">
        <v>0</v>
      </c>
      <c r="L65" s="37">
        <v>0</v>
      </c>
      <c r="M65" s="37">
        <v>0</v>
      </c>
      <c r="N65" s="37"/>
    </row>
    <row r="66" spans="1:14" hidden="1" outlineLevel="1" x14ac:dyDescent="0.4">
      <c r="B66" s="41" t="s">
        <v>15</v>
      </c>
      <c r="C66" s="37"/>
      <c r="D66" s="41"/>
      <c r="E66" s="41"/>
      <c r="F66" s="42"/>
      <c r="G66" s="41"/>
      <c r="H66" s="37">
        <v>0</v>
      </c>
      <c r="I66" s="37">
        <v>0</v>
      </c>
      <c r="J66" s="37">
        <v>0</v>
      </c>
      <c r="K66" s="37">
        <v>0</v>
      </c>
      <c r="L66" s="37">
        <v>0</v>
      </c>
      <c r="M66" s="37">
        <v>0</v>
      </c>
      <c r="N66" s="37"/>
    </row>
    <row r="67" spans="1:14" collapsed="1" x14ac:dyDescent="0.4"/>
    <row r="68" spans="1:14" hidden="1" outlineLevel="1" x14ac:dyDescent="0.4">
      <c r="B68" t="s">
        <v>24</v>
      </c>
    </row>
    <row r="69" spans="1:14" ht="56.25" hidden="1" outlineLevel="1" x14ac:dyDescent="0.4">
      <c r="B69" s="6" t="s">
        <v>16</v>
      </c>
      <c r="C69" s="39"/>
      <c r="D69" s="6"/>
      <c r="E69" s="6"/>
      <c r="F69" s="6"/>
      <c r="G69" s="6" t="s">
        <v>22</v>
      </c>
      <c r="H69" s="7" t="s">
        <v>558</v>
      </c>
      <c r="I69" s="8" t="s">
        <v>510</v>
      </c>
      <c r="J69" s="7" t="s">
        <v>512</v>
      </c>
      <c r="K69" s="8" t="s">
        <v>514</v>
      </c>
      <c r="L69" s="8" t="s">
        <v>519</v>
      </c>
      <c r="M69" s="8" t="s">
        <v>516</v>
      </c>
      <c r="N69" s="8" t="s">
        <v>110</v>
      </c>
    </row>
    <row r="70" spans="1:14" hidden="1" outlineLevel="1" x14ac:dyDescent="0.4">
      <c r="B70" s="9" t="s">
        <v>7</v>
      </c>
      <c r="C70" s="13"/>
      <c r="D70" s="9"/>
      <c r="E70" s="9"/>
      <c r="F70" s="9"/>
      <c r="G70" s="11"/>
      <c r="H70" s="12">
        <v>1</v>
      </c>
      <c r="I70" s="12">
        <v>1</v>
      </c>
      <c r="J70" s="12">
        <v>1</v>
      </c>
      <c r="K70" s="12">
        <v>1</v>
      </c>
      <c r="L70" s="12">
        <v>1</v>
      </c>
      <c r="M70" s="12">
        <v>1</v>
      </c>
      <c r="N70" s="12">
        <v>1</v>
      </c>
    </row>
    <row r="71" spans="1:14" hidden="1" outlineLevel="1" x14ac:dyDescent="0.4">
      <c r="A71" s="5"/>
      <c r="B71" s="9" t="s">
        <v>8</v>
      </c>
      <c r="C71" s="13"/>
      <c r="D71" s="9"/>
      <c r="E71" s="9"/>
      <c r="F71" s="9"/>
      <c r="G71" s="11"/>
      <c r="H71" s="12">
        <v>1</v>
      </c>
      <c r="I71" s="12">
        <v>1</v>
      </c>
      <c r="J71" s="12">
        <v>1</v>
      </c>
      <c r="K71" s="12">
        <v>1</v>
      </c>
      <c r="L71" s="12">
        <v>1</v>
      </c>
      <c r="M71" s="12">
        <v>1</v>
      </c>
      <c r="N71" s="12">
        <v>1</v>
      </c>
    </row>
    <row r="72" spans="1:14" hidden="1" outlineLevel="1" x14ac:dyDescent="0.4">
      <c r="B72" s="150" t="s">
        <v>1</v>
      </c>
      <c r="C72" s="13"/>
      <c r="D72" s="9"/>
      <c r="E72" s="9"/>
      <c r="F72" s="9"/>
      <c r="G72" s="12"/>
      <c r="H72" s="191">
        <v>1</v>
      </c>
      <c r="I72" s="12"/>
      <c r="J72" s="12"/>
      <c r="K72" s="191">
        <v>1</v>
      </c>
      <c r="L72" s="191">
        <v>1</v>
      </c>
      <c r="M72" s="191">
        <v>1</v>
      </c>
      <c r="N72" s="12">
        <v>1</v>
      </c>
    </row>
    <row r="73" spans="1:14" hidden="1" outlineLevel="1" x14ac:dyDescent="0.4">
      <c r="B73" s="150" t="s">
        <v>12</v>
      </c>
      <c r="C73" s="13"/>
      <c r="D73" s="9"/>
      <c r="E73" s="9"/>
      <c r="F73" s="9"/>
      <c r="G73" s="12"/>
      <c r="H73" s="191">
        <v>1</v>
      </c>
      <c r="I73" s="191">
        <v>1</v>
      </c>
      <c r="J73" s="191">
        <v>1</v>
      </c>
      <c r="K73" s="191">
        <v>1</v>
      </c>
      <c r="L73" s="191">
        <v>1</v>
      </c>
      <c r="M73" s="191">
        <v>1</v>
      </c>
      <c r="N73" s="12">
        <v>1</v>
      </c>
    </row>
    <row r="74" spans="1:14" hidden="1" outlineLevel="1" x14ac:dyDescent="0.4">
      <c r="B74" s="9" t="s">
        <v>13</v>
      </c>
      <c r="C74" s="13"/>
      <c r="D74" s="9"/>
      <c r="E74" s="9"/>
      <c r="F74" s="9"/>
      <c r="G74" s="11"/>
      <c r="H74" s="12">
        <v>1</v>
      </c>
      <c r="I74" s="12">
        <v>1</v>
      </c>
      <c r="J74" s="12">
        <v>1</v>
      </c>
      <c r="K74" s="12">
        <v>1</v>
      </c>
      <c r="L74" s="12">
        <v>1</v>
      </c>
      <c r="M74" s="12">
        <v>1</v>
      </c>
      <c r="N74" s="12">
        <v>1</v>
      </c>
    </row>
    <row r="75" spans="1:14" hidden="1" outlineLevel="1" x14ac:dyDescent="0.4">
      <c r="B75" s="9" t="s">
        <v>2</v>
      </c>
      <c r="C75" s="13"/>
      <c r="D75" s="9"/>
      <c r="E75" s="9"/>
      <c r="F75" s="9"/>
      <c r="G75" s="11"/>
      <c r="H75" s="12">
        <v>1</v>
      </c>
      <c r="I75" s="12">
        <v>1</v>
      </c>
      <c r="J75" s="12">
        <v>1</v>
      </c>
      <c r="K75" s="12">
        <v>1</v>
      </c>
      <c r="L75" s="12">
        <v>1</v>
      </c>
      <c r="M75" s="12">
        <v>1</v>
      </c>
      <c r="N75" s="12">
        <v>1</v>
      </c>
    </row>
    <row r="76" spans="1:14" hidden="1" outlineLevel="1" x14ac:dyDescent="0.4">
      <c r="B76" s="9" t="s">
        <v>14</v>
      </c>
      <c r="C76" s="13"/>
      <c r="D76" s="9"/>
      <c r="E76" s="9"/>
      <c r="F76" s="9"/>
      <c r="G76" s="11"/>
      <c r="H76" s="12">
        <v>1</v>
      </c>
      <c r="I76" s="12">
        <v>1</v>
      </c>
      <c r="J76" s="12">
        <v>1</v>
      </c>
      <c r="K76" s="12">
        <v>1</v>
      </c>
      <c r="L76" s="12">
        <v>1</v>
      </c>
      <c r="M76" s="12">
        <v>1</v>
      </c>
      <c r="N76" s="12">
        <v>1</v>
      </c>
    </row>
    <row r="77" spans="1:14" hidden="1" outlineLevel="1" x14ac:dyDescent="0.4">
      <c r="B77" s="9" t="s">
        <v>15</v>
      </c>
      <c r="C77" s="13"/>
      <c r="D77" s="9"/>
      <c r="E77" s="9"/>
      <c r="F77" s="9"/>
      <c r="G77" s="11"/>
      <c r="H77" s="12">
        <v>1</v>
      </c>
      <c r="I77" s="12">
        <v>1</v>
      </c>
      <c r="J77" s="12">
        <v>1</v>
      </c>
      <c r="K77" s="12">
        <v>1</v>
      </c>
      <c r="L77" s="12">
        <v>1</v>
      </c>
      <c r="M77" s="12">
        <v>1</v>
      </c>
      <c r="N77" s="12">
        <v>1</v>
      </c>
    </row>
    <row r="78" spans="1:14" collapsed="1" x14ac:dyDescent="0.4"/>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AV128"/>
  <sheetViews>
    <sheetView zoomScale="55" zoomScaleNormal="55" workbookViewId="0">
      <pane xSplit="5" ySplit="3" topLeftCell="K4" activePane="bottomRight" state="frozen"/>
      <selection pane="topRight" activeCell="F1" sqref="F1"/>
      <selection pane="bottomLeft" activeCell="A4" sqref="A4"/>
      <selection pane="bottomRight" activeCell="P9" sqref="P9"/>
    </sheetView>
  </sheetViews>
  <sheetFormatPr defaultRowHeight="18.75" outlineLevelCol="1" x14ac:dyDescent="0.4"/>
  <cols>
    <col min="1" max="1" width="21.375" style="186" bestFit="1" customWidth="1"/>
    <col min="2" max="2" width="9" style="187"/>
    <col min="3" max="3" width="11" style="187" bestFit="1" customWidth="1"/>
    <col min="4" max="4" width="10.625" style="187" bestFit="1" customWidth="1"/>
    <col min="5" max="5" width="71.5" style="196" customWidth="1"/>
    <col min="6" max="6" width="9.375" style="187" hidden="1" customWidth="1" outlineLevel="1"/>
    <col min="7" max="7" width="7.75" style="187" hidden="1" customWidth="1" outlineLevel="1"/>
    <col min="8" max="10" width="9.375" style="187" hidden="1" customWidth="1" outlineLevel="1"/>
    <col min="11" max="11" width="17.25" style="188" bestFit="1" customWidth="1" collapsed="1"/>
    <col min="12" max="12" width="11" style="187" bestFit="1" customWidth="1"/>
    <col min="13" max="15" width="8.625" style="186" hidden="1" customWidth="1" outlineLevel="1"/>
    <col min="16" max="16" width="8.625" style="206" customWidth="1" collapsed="1"/>
    <col min="17" max="17" width="8.625" style="206" customWidth="1"/>
    <col min="18" max="18" width="8.625" style="186" customWidth="1"/>
    <col min="19" max="25" width="8.625" style="186" hidden="1" customWidth="1" outlineLevel="1"/>
    <col min="26" max="26" width="13.125" style="187" customWidth="1" collapsed="1"/>
    <col min="27" max="27" width="13.125" style="187" customWidth="1"/>
    <col min="28" max="33" width="8.625" style="186" hidden="1" customWidth="1" outlineLevel="1"/>
    <col min="34" max="34" width="13.125" style="187" customWidth="1" collapsed="1"/>
    <col min="35" max="35" width="13.125" style="187" customWidth="1"/>
    <col min="36" max="41" width="8.625" style="186" hidden="1" customWidth="1" outlineLevel="1"/>
    <col min="42" max="42" width="13.125" style="187" customWidth="1" collapsed="1"/>
    <col min="43" max="43" width="13.125" style="187" customWidth="1"/>
    <col min="44" max="47" width="8.625" style="186" hidden="1" customWidth="1" outlineLevel="1"/>
    <col min="48" max="48" width="9" style="186" collapsed="1"/>
    <col min="49" max="16384" width="9" style="186"/>
  </cols>
  <sheetData>
    <row r="1" spans="1:48" s="185" customFormat="1" ht="37.5" x14ac:dyDescent="0.4">
      <c r="A1" s="45" t="s">
        <v>196</v>
      </c>
      <c r="B1" s="8"/>
      <c r="C1" s="8"/>
      <c r="D1" s="8"/>
      <c r="E1" s="146"/>
      <c r="F1" s="8"/>
      <c r="G1" s="8"/>
      <c r="H1" s="8"/>
      <c r="I1" s="8"/>
      <c r="J1" s="8"/>
      <c r="K1" s="25" t="s">
        <v>198</v>
      </c>
      <c r="L1" s="8" t="s">
        <v>57</v>
      </c>
      <c r="M1" s="7"/>
      <c r="N1" s="7" t="s">
        <v>55</v>
      </c>
      <c r="O1" s="7"/>
      <c r="P1" s="201" t="s">
        <v>55</v>
      </c>
      <c r="Q1" s="201"/>
      <c r="R1" s="148"/>
      <c r="S1" s="7"/>
      <c r="T1" s="7"/>
      <c r="U1" s="7"/>
      <c r="V1" s="7"/>
      <c r="W1" s="7"/>
      <c r="X1" s="7" t="s">
        <v>56</v>
      </c>
      <c r="Y1" s="7"/>
      <c r="Z1" s="8" t="s">
        <v>56</v>
      </c>
      <c r="AA1" s="8"/>
      <c r="AB1" s="7"/>
      <c r="AC1" s="7"/>
      <c r="AD1" s="7"/>
      <c r="AE1" s="7"/>
      <c r="AF1" s="7" t="s">
        <v>491</v>
      </c>
      <c r="AG1" s="7"/>
      <c r="AH1" s="8" t="s">
        <v>491</v>
      </c>
      <c r="AI1" s="8"/>
      <c r="AJ1" s="7"/>
      <c r="AK1" s="7"/>
      <c r="AL1" s="7"/>
      <c r="AM1" s="7"/>
      <c r="AN1" s="7" t="s">
        <v>492</v>
      </c>
      <c r="AO1" s="7"/>
      <c r="AP1" s="8" t="s">
        <v>492</v>
      </c>
      <c r="AQ1" s="8"/>
      <c r="AR1" s="7"/>
      <c r="AS1" s="7"/>
      <c r="AT1" s="7"/>
      <c r="AU1" s="7"/>
    </row>
    <row r="2" spans="1:48" s="185" customFormat="1" ht="75" x14ac:dyDescent="0.4">
      <c r="A2" s="9" t="s">
        <v>508</v>
      </c>
      <c r="B2" s="8"/>
      <c r="C2" s="8"/>
      <c r="D2" s="8"/>
      <c r="E2" s="194" t="s">
        <v>50</v>
      </c>
      <c r="F2" s="8" t="s">
        <v>79</v>
      </c>
      <c r="G2" s="8"/>
      <c r="H2" s="10" t="s">
        <v>77</v>
      </c>
      <c r="I2" s="8"/>
      <c r="J2" s="8"/>
      <c r="K2" s="228" t="s">
        <v>189</v>
      </c>
      <c r="L2" s="8"/>
      <c r="M2" s="7" t="s">
        <v>103</v>
      </c>
      <c r="N2" s="7" t="s">
        <v>42</v>
      </c>
      <c r="O2" s="7" t="s">
        <v>43</v>
      </c>
      <c r="P2" s="201" t="s">
        <v>44</v>
      </c>
      <c r="Q2" s="201" t="s">
        <v>45</v>
      </c>
      <c r="R2" s="148" t="s">
        <v>458</v>
      </c>
      <c r="S2" s="7" t="s">
        <v>46</v>
      </c>
      <c r="T2" s="7" t="s">
        <v>47</v>
      </c>
      <c r="U2" s="7" t="s">
        <v>48</v>
      </c>
      <c r="V2" s="7" t="s">
        <v>49</v>
      </c>
      <c r="W2" s="7"/>
      <c r="X2" s="7" t="s">
        <v>42</v>
      </c>
      <c r="Y2" s="7" t="s">
        <v>43</v>
      </c>
      <c r="Z2" s="8" t="s">
        <v>44</v>
      </c>
      <c r="AA2" s="8" t="s">
        <v>45</v>
      </c>
      <c r="AB2" s="7" t="s">
        <v>46</v>
      </c>
      <c r="AC2" s="7" t="s">
        <v>47</v>
      </c>
      <c r="AD2" s="7" t="s">
        <v>48</v>
      </c>
      <c r="AE2" s="7" t="s">
        <v>49</v>
      </c>
      <c r="AF2" s="7" t="s">
        <v>42</v>
      </c>
      <c r="AG2" s="7" t="s">
        <v>43</v>
      </c>
      <c r="AH2" s="8" t="s">
        <v>44</v>
      </c>
      <c r="AI2" s="8" t="s">
        <v>45</v>
      </c>
      <c r="AJ2" s="7" t="s">
        <v>46</v>
      </c>
      <c r="AK2" s="7" t="s">
        <v>47</v>
      </c>
      <c r="AL2" s="7" t="s">
        <v>48</v>
      </c>
      <c r="AM2" s="7" t="s">
        <v>49</v>
      </c>
      <c r="AN2" s="7" t="s">
        <v>42</v>
      </c>
      <c r="AO2" s="7" t="s">
        <v>43</v>
      </c>
      <c r="AP2" s="8" t="s">
        <v>44</v>
      </c>
      <c r="AQ2" s="8" t="s">
        <v>45</v>
      </c>
      <c r="AR2" s="7" t="s">
        <v>46</v>
      </c>
      <c r="AS2" s="7" t="s">
        <v>47</v>
      </c>
      <c r="AT2" s="7" t="s">
        <v>48</v>
      </c>
      <c r="AU2" s="7" t="s">
        <v>49</v>
      </c>
      <c r="AV2" s="185" t="s">
        <v>597</v>
      </c>
    </row>
    <row r="3" spans="1:48" s="185" customFormat="1" ht="56.25" x14ac:dyDescent="0.4">
      <c r="A3" s="7"/>
      <c r="B3" s="8"/>
      <c r="C3" s="8"/>
      <c r="D3" s="8"/>
      <c r="E3" s="8"/>
      <c r="F3" s="8" t="s">
        <v>78</v>
      </c>
      <c r="G3" s="8" t="s">
        <v>184</v>
      </c>
      <c r="H3" s="8" t="s">
        <v>80</v>
      </c>
      <c r="I3" s="8" t="s">
        <v>81</v>
      </c>
      <c r="J3" s="8" t="s">
        <v>82</v>
      </c>
      <c r="K3" s="228"/>
      <c r="L3" s="8"/>
      <c r="M3" s="7"/>
      <c r="N3" s="7"/>
      <c r="O3" s="7"/>
      <c r="P3" s="7"/>
      <c r="Q3" s="7"/>
      <c r="R3" s="148"/>
      <c r="S3" s="7"/>
      <c r="T3" s="7"/>
      <c r="U3" s="7"/>
      <c r="V3" s="7"/>
      <c r="W3" s="7"/>
      <c r="X3" s="7"/>
      <c r="Y3" s="7"/>
      <c r="Z3" s="8"/>
      <c r="AA3" s="8"/>
      <c r="AB3" s="7"/>
      <c r="AC3" s="7"/>
      <c r="AD3" s="7"/>
      <c r="AE3" s="7"/>
      <c r="AF3" s="7"/>
      <c r="AG3" s="7"/>
      <c r="AH3" s="8"/>
      <c r="AI3" s="8"/>
      <c r="AJ3" s="7"/>
      <c r="AK3" s="7"/>
      <c r="AL3" s="7"/>
      <c r="AM3" s="7"/>
      <c r="AN3" s="7"/>
      <c r="AO3" s="7"/>
      <c r="AP3" s="8"/>
      <c r="AQ3" s="8"/>
      <c r="AR3" s="7"/>
      <c r="AS3" s="7"/>
      <c r="AT3" s="7"/>
      <c r="AU3" s="7"/>
      <c r="AV3" s="192"/>
    </row>
    <row r="4" spans="1:48" x14ac:dyDescent="0.4">
      <c r="A4" s="31" t="s">
        <v>558</v>
      </c>
      <c r="B4" s="31"/>
      <c r="C4" s="31" t="s">
        <v>53</v>
      </c>
      <c r="D4" s="32"/>
      <c r="E4" s="195"/>
      <c r="F4" s="32"/>
      <c r="G4" s="32"/>
      <c r="H4" s="32"/>
      <c r="I4" s="32"/>
      <c r="J4" s="32"/>
      <c r="K4" s="33"/>
      <c r="L4" s="32"/>
      <c r="M4" s="34"/>
      <c r="N4" s="34"/>
      <c r="O4" s="34"/>
      <c r="P4" s="202" t="s">
        <v>0</v>
      </c>
      <c r="Q4" s="202" t="s">
        <v>0</v>
      </c>
      <c r="R4" s="32" t="s">
        <v>0</v>
      </c>
      <c r="S4" s="34"/>
      <c r="T4" s="34"/>
      <c r="U4" s="34"/>
      <c r="V4" s="34"/>
      <c r="W4" s="31" t="s">
        <v>106</v>
      </c>
      <c r="X4" s="35">
        <f t="shared" ref="X4:AF4" si="0">SUM(X5:X46)</f>
        <v>7</v>
      </c>
      <c r="Y4" s="35">
        <f t="shared" si="0"/>
        <v>10</v>
      </c>
      <c r="Z4" s="35">
        <f t="shared" si="0"/>
        <v>22</v>
      </c>
      <c r="AA4" s="35">
        <f t="shared" si="0"/>
        <v>18</v>
      </c>
      <c r="AB4" s="35">
        <f t="shared" si="0"/>
        <v>0</v>
      </c>
      <c r="AC4" s="35">
        <f t="shared" si="0"/>
        <v>5</v>
      </c>
      <c r="AD4" s="35">
        <f t="shared" si="0"/>
        <v>0</v>
      </c>
      <c r="AE4" s="35">
        <f t="shared" si="0"/>
        <v>0</v>
      </c>
      <c r="AF4" s="35">
        <f t="shared" si="0"/>
        <v>0</v>
      </c>
      <c r="AG4" s="35">
        <f t="shared" ref="AG4:AM4" si="1">SUM(AG5:AG46)</f>
        <v>0</v>
      </c>
      <c r="AH4" s="35">
        <f t="shared" si="1"/>
        <v>36</v>
      </c>
      <c r="AI4" s="35">
        <f t="shared" si="1"/>
        <v>31</v>
      </c>
      <c r="AJ4" s="35">
        <f t="shared" si="1"/>
        <v>0</v>
      </c>
      <c r="AK4" s="35">
        <f t="shared" si="1"/>
        <v>0</v>
      </c>
      <c r="AL4" s="35">
        <f t="shared" si="1"/>
        <v>0</v>
      </c>
      <c r="AM4" s="35">
        <f t="shared" si="1"/>
        <v>0</v>
      </c>
      <c r="AN4" s="35"/>
      <c r="AO4" s="35"/>
      <c r="AP4" s="35">
        <f>SUM(AP5:AP46)</f>
        <v>-2</v>
      </c>
      <c r="AQ4" s="35">
        <f>SUM(AQ5:AQ46)</f>
        <v>-7</v>
      </c>
      <c r="AR4" s="35"/>
      <c r="AS4" s="35"/>
      <c r="AT4" s="35"/>
      <c r="AU4" s="35"/>
    </row>
    <row r="5" spans="1:48" x14ac:dyDescent="0.4">
      <c r="A5" s="7" t="s">
        <v>518</v>
      </c>
      <c r="B5" s="10"/>
      <c r="C5" s="26" t="s">
        <v>65</v>
      </c>
      <c r="D5" s="10"/>
      <c r="E5" s="25" t="s">
        <v>51</v>
      </c>
      <c r="F5" s="10" t="s">
        <v>69</v>
      </c>
      <c r="G5" s="10"/>
      <c r="H5" s="10" t="s">
        <v>0</v>
      </c>
      <c r="I5" s="10" t="s">
        <v>0</v>
      </c>
      <c r="J5" s="10" t="s">
        <v>0</v>
      </c>
      <c r="K5" s="23" t="s">
        <v>73</v>
      </c>
      <c r="L5" s="24">
        <f>IFERROR(VLOOKUP(K5,選択肢リスト!$B$3:$C$6,2,FALSE),M5)</f>
        <v>0</v>
      </c>
      <c r="M5" s="24">
        <v>0</v>
      </c>
      <c r="N5" s="24">
        <v>10</v>
      </c>
      <c r="O5" s="24"/>
      <c r="P5" s="24"/>
      <c r="Q5" s="24"/>
      <c r="R5" s="149" t="str">
        <f>IF(AND(P5="",Q5=""),"","〇")</f>
        <v/>
      </c>
      <c r="S5" s="24"/>
      <c r="T5" s="24"/>
      <c r="U5" s="24"/>
      <c r="V5" s="24"/>
      <c r="W5" s="24"/>
      <c r="X5" s="24">
        <f t="shared" ref="X5:X13" si="2">$L5*N5</f>
        <v>0</v>
      </c>
      <c r="Y5" s="24">
        <f>$L5*O5</f>
        <v>0</v>
      </c>
      <c r="Z5" s="24">
        <f>$L5*P5</f>
        <v>0</v>
      </c>
      <c r="AA5" s="24">
        <f>$L5*Q5</f>
        <v>0</v>
      </c>
      <c r="AB5" s="24">
        <f t="shared" ref="AB5:AE12" si="3">$L5*S5</f>
        <v>0</v>
      </c>
      <c r="AC5" s="24">
        <f t="shared" si="3"/>
        <v>0</v>
      </c>
      <c r="AD5" s="24">
        <f t="shared" si="3"/>
        <v>0</v>
      </c>
      <c r="AE5" s="24">
        <f t="shared" si="3"/>
        <v>0</v>
      </c>
      <c r="AF5" s="24"/>
      <c r="AG5" s="24"/>
      <c r="AH5" s="24"/>
      <c r="AI5" s="24"/>
      <c r="AJ5" s="24"/>
      <c r="AK5" s="24"/>
      <c r="AL5" s="24"/>
      <c r="AM5" s="24"/>
      <c r="AN5" s="24"/>
      <c r="AO5" s="24"/>
      <c r="AP5" s="24"/>
      <c r="AQ5" s="24"/>
      <c r="AR5" s="24"/>
      <c r="AS5" s="24"/>
      <c r="AT5" s="24"/>
      <c r="AU5" s="24"/>
      <c r="AV5" s="189"/>
    </row>
    <row r="6" spans="1:48" x14ac:dyDescent="0.4">
      <c r="A6" s="7" t="s">
        <v>518</v>
      </c>
      <c r="B6" s="10"/>
      <c r="C6" s="26" t="s">
        <v>65</v>
      </c>
      <c r="D6" s="10"/>
      <c r="E6" s="25" t="s">
        <v>97</v>
      </c>
      <c r="F6" s="10" t="s">
        <v>0</v>
      </c>
      <c r="G6" s="10" t="s">
        <v>0</v>
      </c>
      <c r="H6" s="10" t="s">
        <v>0</v>
      </c>
      <c r="I6" s="10" t="s">
        <v>0</v>
      </c>
      <c r="J6" s="10" t="s">
        <v>0</v>
      </c>
      <c r="K6" s="23" t="s">
        <v>73</v>
      </c>
      <c r="L6" s="24">
        <f>IFERROR(VLOOKUP(K6,選択肢リスト!$B$3:$C$6,2,FALSE),M6)</f>
        <v>0</v>
      </c>
      <c r="M6" s="24">
        <v>0</v>
      </c>
      <c r="N6" s="24">
        <v>2</v>
      </c>
      <c r="O6" s="24"/>
      <c r="P6" s="24"/>
      <c r="Q6" s="24"/>
      <c r="R6" s="149" t="str">
        <f t="shared" ref="R6:R46" si="4">IF(AND(P6="",Q6=""),"","〇")</f>
        <v/>
      </c>
      <c r="S6" s="24"/>
      <c r="T6" s="24"/>
      <c r="U6" s="24"/>
      <c r="V6" s="24"/>
      <c r="W6" s="24"/>
      <c r="X6" s="24">
        <f t="shared" si="2"/>
        <v>0</v>
      </c>
      <c r="Y6" s="24">
        <f t="shared" ref="Y6:Y10" si="5">$L6*O6</f>
        <v>0</v>
      </c>
      <c r="Z6" s="24">
        <f t="shared" ref="Z6:Z10" si="6">$L6*P6</f>
        <v>0</v>
      </c>
      <c r="AA6" s="24">
        <f t="shared" ref="AA6:AA10" si="7">$L6*Q6</f>
        <v>0</v>
      </c>
      <c r="AB6" s="24">
        <f t="shared" ref="AB6:AB10" si="8">$L6*S6</f>
        <v>0</v>
      </c>
      <c r="AC6" s="24">
        <f t="shared" ref="AC6:AC10" si="9">$L6*T6</f>
        <v>0</v>
      </c>
      <c r="AD6" s="24">
        <f t="shared" ref="AD6:AD10" si="10">$L6*U6</f>
        <v>0</v>
      </c>
      <c r="AE6" s="24">
        <f t="shared" ref="AE6:AE10" si="11">$L6*V6</f>
        <v>0</v>
      </c>
      <c r="AF6" s="24"/>
      <c r="AG6" s="24"/>
      <c r="AH6" s="24"/>
      <c r="AI6" s="24"/>
      <c r="AJ6" s="24"/>
      <c r="AK6" s="24"/>
      <c r="AL6" s="24"/>
      <c r="AM6" s="24"/>
      <c r="AN6" s="24"/>
      <c r="AO6" s="24"/>
      <c r="AP6" s="24"/>
      <c r="AQ6" s="24"/>
      <c r="AR6" s="24"/>
      <c r="AS6" s="24"/>
      <c r="AT6" s="24"/>
      <c r="AU6" s="24"/>
      <c r="AV6" s="189"/>
    </row>
    <row r="7" spans="1:48" x14ac:dyDescent="0.4">
      <c r="A7" s="7" t="s">
        <v>518</v>
      </c>
      <c r="B7" s="10"/>
      <c r="C7" s="29" t="s">
        <v>66</v>
      </c>
      <c r="D7" s="10"/>
      <c r="E7" s="25" t="s">
        <v>98</v>
      </c>
      <c r="F7" s="10" t="s">
        <v>0</v>
      </c>
      <c r="G7" s="10" t="s">
        <v>0</v>
      </c>
      <c r="H7" s="10" t="s">
        <v>0</v>
      </c>
      <c r="I7" s="10" t="s">
        <v>0</v>
      </c>
      <c r="J7" s="10" t="s">
        <v>0</v>
      </c>
      <c r="K7" s="27" t="s">
        <v>73</v>
      </c>
      <c r="L7" s="28">
        <f>IFERROR(VLOOKUP(K7,選択肢リスト!$F$3:$G$7,2,FALSE),M7)</f>
        <v>1</v>
      </c>
      <c r="M7" s="24">
        <v>0</v>
      </c>
      <c r="N7" s="24">
        <v>1</v>
      </c>
      <c r="O7" s="24"/>
      <c r="P7" s="24"/>
      <c r="Q7" s="24"/>
      <c r="R7" s="149" t="str">
        <f t="shared" si="4"/>
        <v/>
      </c>
      <c r="S7" s="24"/>
      <c r="T7" s="24"/>
      <c r="U7" s="24"/>
      <c r="V7" s="24"/>
      <c r="W7" s="24"/>
      <c r="X7" s="24">
        <f t="shared" si="2"/>
        <v>1</v>
      </c>
      <c r="Y7" s="24">
        <f t="shared" ref="Y7" si="12">$L7*O7</f>
        <v>0</v>
      </c>
      <c r="Z7" s="28">
        <f t="shared" ref="Z7" si="13">$L7*P7</f>
        <v>0</v>
      </c>
      <c r="AA7" s="28">
        <f t="shared" ref="AA7" si="14">$L7*Q7</f>
        <v>0</v>
      </c>
      <c r="AB7" s="24">
        <f t="shared" ref="AB7" si="15">$L7*S7</f>
        <v>0</v>
      </c>
      <c r="AC7" s="24">
        <f t="shared" ref="AC7" si="16">$L7*T7</f>
        <v>0</v>
      </c>
      <c r="AD7" s="24">
        <f t="shared" ref="AD7" si="17">$L7*U7</f>
        <v>0</v>
      </c>
      <c r="AE7" s="24">
        <f t="shared" ref="AE7" si="18">$L7*V7</f>
        <v>0</v>
      </c>
      <c r="AF7" s="24"/>
      <c r="AG7" s="24"/>
      <c r="AH7" s="28"/>
      <c r="AI7" s="28"/>
      <c r="AJ7" s="24"/>
      <c r="AK7" s="24"/>
      <c r="AL7" s="24"/>
      <c r="AM7" s="24"/>
      <c r="AN7" s="24"/>
      <c r="AO7" s="24"/>
      <c r="AP7" s="28"/>
      <c r="AQ7" s="28"/>
      <c r="AR7" s="24"/>
      <c r="AS7" s="24"/>
      <c r="AT7" s="24"/>
      <c r="AU7" s="24"/>
      <c r="AV7" s="189"/>
    </row>
    <row r="8" spans="1:48" x14ac:dyDescent="0.4">
      <c r="A8" s="7" t="s">
        <v>518</v>
      </c>
      <c r="B8" s="10"/>
      <c r="C8" s="29" t="s">
        <v>66</v>
      </c>
      <c r="D8" s="10"/>
      <c r="E8" s="25" t="s">
        <v>96</v>
      </c>
      <c r="F8" s="10" t="s">
        <v>0</v>
      </c>
      <c r="G8" s="10" t="s">
        <v>0</v>
      </c>
      <c r="H8" s="10" t="s">
        <v>0</v>
      </c>
      <c r="I8" s="10" t="s">
        <v>0</v>
      </c>
      <c r="J8" s="10" t="s">
        <v>0</v>
      </c>
      <c r="K8" s="27" t="s">
        <v>73</v>
      </c>
      <c r="L8" s="28">
        <f>IFERROR(VLOOKUP(K8,選択肢リスト!$F$3:$G$7,2,FALSE),M8)</f>
        <v>1</v>
      </c>
      <c r="M8" s="24">
        <v>0</v>
      </c>
      <c r="N8" s="24">
        <v>1</v>
      </c>
      <c r="O8" s="24"/>
      <c r="P8" s="24"/>
      <c r="Q8" s="24"/>
      <c r="R8" s="149" t="str">
        <f t="shared" si="4"/>
        <v/>
      </c>
      <c r="S8" s="24"/>
      <c r="T8" s="24"/>
      <c r="U8" s="24"/>
      <c r="V8" s="24"/>
      <c r="W8" s="24"/>
      <c r="X8" s="24">
        <f t="shared" si="2"/>
        <v>1</v>
      </c>
      <c r="Y8" s="24">
        <f t="shared" si="5"/>
        <v>0</v>
      </c>
      <c r="Z8" s="28">
        <f t="shared" si="6"/>
        <v>0</v>
      </c>
      <c r="AA8" s="28">
        <f t="shared" si="7"/>
        <v>0</v>
      </c>
      <c r="AB8" s="24">
        <f t="shared" si="8"/>
        <v>0</v>
      </c>
      <c r="AC8" s="24">
        <f t="shared" si="9"/>
        <v>0</v>
      </c>
      <c r="AD8" s="24">
        <f t="shared" si="10"/>
        <v>0</v>
      </c>
      <c r="AE8" s="24">
        <f t="shared" si="11"/>
        <v>0</v>
      </c>
      <c r="AF8" s="24"/>
      <c r="AG8" s="24"/>
      <c r="AH8" s="28"/>
      <c r="AI8" s="28"/>
      <c r="AJ8" s="24"/>
      <c r="AK8" s="24"/>
      <c r="AL8" s="24"/>
      <c r="AM8" s="24"/>
      <c r="AN8" s="24"/>
      <c r="AO8" s="24"/>
      <c r="AP8" s="28"/>
      <c r="AQ8" s="28"/>
      <c r="AR8" s="24"/>
      <c r="AS8" s="24"/>
      <c r="AT8" s="24"/>
      <c r="AU8" s="24"/>
      <c r="AV8" s="189"/>
    </row>
    <row r="9" spans="1:48" x14ac:dyDescent="0.4">
      <c r="A9" s="7" t="s">
        <v>518</v>
      </c>
      <c r="B9" s="10"/>
      <c r="C9" s="29" t="s">
        <v>66</v>
      </c>
      <c r="D9" s="10"/>
      <c r="E9" s="25" t="s">
        <v>99</v>
      </c>
      <c r="F9" s="10" t="s">
        <v>0</v>
      </c>
      <c r="G9" s="10" t="s">
        <v>0</v>
      </c>
      <c r="H9" s="10" t="s">
        <v>0</v>
      </c>
      <c r="I9" s="10" t="s">
        <v>0</v>
      </c>
      <c r="J9" s="10" t="s">
        <v>0</v>
      </c>
      <c r="K9" s="27" t="s">
        <v>73</v>
      </c>
      <c r="L9" s="28">
        <f>IFERROR(VLOOKUP(K9,選択肢リスト!$F$3:$G$7,2,FALSE),M9)</f>
        <v>1</v>
      </c>
      <c r="M9" s="24">
        <v>0</v>
      </c>
      <c r="N9" s="24">
        <v>1</v>
      </c>
      <c r="O9" s="24"/>
      <c r="P9" s="24"/>
      <c r="Q9" s="24"/>
      <c r="R9" s="149" t="str">
        <f t="shared" si="4"/>
        <v/>
      </c>
      <c r="S9" s="24"/>
      <c r="T9" s="24"/>
      <c r="U9" s="24"/>
      <c r="V9" s="24"/>
      <c r="W9" s="24"/>
      <c r="X9" s="24">
        <f t="shared" si="2"/>
        <v>1</v>
      </c>
      <c r="Y9" s="24">
        <f t="shared" si="5"/>
        <v>0</v>
      </c>
      <c r="Z9" s="28">
        <f t="shared" si="6"/>
        <v>0</v>
      </c>
      <c r="AA9" s="28">
        <f t="shared" si="7"/>
        <v>0</v>
      </c>
      <c r="AB9" s="24">
        <f t="shared" si="8"/>
        <v>0</v>
      </c>
      <c r="AC9" s="24">
        <f t="shared" si="9"/>
        <v>0</v>
      </c>
      <c r="AD9" s="24">
        <f t="shared" si="10"/>
        <v>0</v>
      </c>
      <c r="AE9" s="24">
        <f t="shared" si="11"/>
        <v>0</v>
      </c>
      <c r="AF9" s="24"/>
      <c r="AG9" s="24"/>
      <c r="AH9" s="28"/>
      <c r="AI9" s="28"/>
      <c r="AJ9" s="24"/>
      <c r="AK9" s="24"/>
      <c r="AL9" s="24"/>
      <c r="AM9" s="24"/>
      <c r="AN9" s="24"/>
      <c r="AO9" s="24"/>
      <c r="AP9" s="28"/>
      <c r="AQ9" s="28"/>
      <c r="AR9" s="24"/>
      <c r="AS9" s="24"/>
      <c r="AT9" s="24"/>
      <c r="AU9" s="24"/>
      <c r="AV9" s="189"/>
    </row>
    <row r="10" spans="1:48" x14ac:dyDescent="0.4">
      <c r="A10" s="7" t="s">
        <v>518</v>
      </c>
      <c r="B10" s="10"/>
      <c r="C10" s="29" t="s">
        <v>66</v>
      </c>
      <c r="D10" s="10"/>
      <c r="E10" s="25" t="s">
        <v>100</v>
      </c>
      <c r="F10" s="10" t="s">
        <v>0</v>
      </c>
      <c r="G10" s="10" t="s">
        <v>105</v>
      </c>
      <c r="H10" s="10" t="s">
        <v>0</v>
      </c>
      <c r="I10" s="10" t="s">
        <v>0</v>
      </c>
      <c r="J10" s="10" t="s">
        <v>0</v>
      </c>
      <c r="K10" s="27" t="s">
        <v>73</v>
      </c>
      <c r="L10" s="28">
        <f>IFERROR(VLOOKUP(K10,選択肢リスト!$F$3:$G$7,2,FALSE),M10)</f>
        <v>1</v>
      </c>
      <c r="M10" s="24">
        <v>0</v>
      </c>
      <c r="N10" s="24">
        <v>1</v>
      </c>
      <c r="O10" s="24"/>
      <c r="P10" s="24"/>
      <c r="Q10" s="24"/>
      <c r="R10" s="149" t="str">
        <f t="shared" si="4"/>
        <v/>
      </c>
      <c r="S10" s="24"/>
      <c r="T10" s="24"/>
      <c r="U10" s="24"/>
      <c r="V10" s="24"/>
      <c r="W10" s="24"/>
      <c r="X10" s="24">
        <f t="shared" si="2"/>
        <v>1</v>
      </c>
      <c r="Y10" s="24">
        <f t="shared" si="5"/>
        <v>0</v>
      </c>
      <c r="Z10" s="28">
        <f t="shared" si="6"/>
        <v>0</v>
      </c>
      <c r="AA10" s="28">
        <f t="shared" si="7"/>
        <v>0</v>
      </c>
      <c r="AB10" s="24">
        <f t="shared" si="8"/>
        <v>0</v>
      </c>
      <c r="AC10" s="24">
        <f t="shared" si="9"/>
        <v>0</v>
      </c>
      <c r="AD10" s="24">
        <f t="shared" si="10"/>
        <v>0</v>
      </c>
      <c r="AE10" s="24">
        <f t="shared" si="11"/>
        <v>0</v>
      </c>
      <c r="AF10" s="24"/>
      <c r="AG10" s="24"/>
      <c r="AH10" s="28"/>
      <c r="AI10" s="28"/>
      <c r="AJ10" s="24"/>
      <c r="AK10" s="24"/>
      <c r="AL10" s="24"/>
      <c r="AM10" s="24"/>
      <c r="AN10" s="24"/>
      <c r="AO10" s="24"/>
      <c r="AP10" s="28"/>
      <c r="AQ10" s="28"/>
      <c r="AR10" s="24"/>
      <c r="AS10" s="24"/>
      <c r="AT10" s="24"/>
      <c r="AU10" s="24"/>
      <c r="AV10" s="189"/>
    </row>
    <row r="11" spans="1:48" x14ac:dyDescent="0.4">
      <c r="A11" s="7" t="s">
        <v>518</v>
      </c>
      <c r="B11" s="10"/>
      <c r="C11" s="29" t="s">
        <v>66</v>
      </c>
      <c r="D11" s="10"/>
      <c r="E11" s="25" t="s">
        <v>101</v>
      </c>
      <c r="F11" s="10" t="s">
        <v>0</v>
      </c>
      <c r="G11" s="10"/>
      <c r="H11" s="10" t="s">
        <v>0</v>
      </c>
      <c r="I11" s="10" t="s">
        <v>0</v>
      </c>
      <c r="J11" s="10" t="s">
        <v>0</v>
      </c>
      <c r="K11" s="27" t="s">
        <v>73</v>
      </c>
      <c r="L11" s="28">
        <f>IFERROR(VLOOKUP(K11,選択肢リスト!$F$3:$G$7,2,FALSE),M11)</f>
        <v>1</v>
      </c>
      <c r="M11" s="24">
        <v>0</v>
      </c>
      <c r="N11" s="24">
        <v>1</v>
      </c>
      <c r="O11" s="24"/>
      <c r="P11" s="24"/>
      <c r="Q11" s="24"/>
      <c r="R11" s="149" t="str">
        <f t="shared" si="4"/>
        <v/>
      </c>
      <c r="S11" s="24"/>
      <c r="T11" s="24"/>
      <c r="U11" s="24"/>
      <c r="V11" s="24"/>
      <c r="W11" s="24"/>
      <c r="X11" s="24">
        <f t="shared" si="2"/>
        <v>1</v>
      </c>
      <c r="Y11" s="24">
        <f t="shared" ref="Y11:AA12" si="19">$L11*O11</f>
        <v>0</v>
      </c>
      <c r="Z11" s="28">
        <f t="shared" si="19"/>
        <v>0</v>
      </c>
      <c r="AA11" s="28">
        <f t="shared" si="19"/>
        <v>0</v>
      </c>
      <c r="AB11" s="24">
        <f t="shared" si="3"/>
        <v>0</v>
      </c>
      <c r="AC11" s="24">
        <f t="shared" si="3"/>
        <v>0</v>
      </c>
      <c r="AD11" s="24">
        <f t="shared" si="3"/>
        <v>0</v>
      </c>
      <c r="AE11" s="24">
        <f t="shared" si="3"/>
        <v>0</v>
      </c>
      <c r="AF11" s="24"/>
      <c r="AG11" s="24"/>
      <c r="AH11" s="28"/>
      <c r="AI11" s="28"/>
      <c r="AJ11" s="24"/>
      <c r="AK11" s="24"/>
      <c r="AL11" s="24"/>
      <c r="AM11" s="24"/>
      <c r="AN11" s="24"/>
      <c r="AO11" s="24"/>
      <c r="AP11" s="28"/>
      <c r="AQ11" s="28"/>
      <c r="AR11" s="24"/>
      <c r="AS11" s="24"/>
      <c r="AT11" s="24"/>
      <c r="AU11" s="24"/>
      <c r="AV11" s="189"/>
    </row>
    <row r="12" spans="1:48" x14ac:dyDescent="0.4">
      <c r="A12" s="7" t="s">
        <v>518</v>
      </c>
      <c r="B12" s="10"/>
      <c r="C12" s="29" t="s">
        <v>66</v>
      </c>
      <c r="D12" s="10"/>
      <c r="E12" s="25" t="s">
        <v>102</v>
      </c>
      <c r="F12" s="10" t="s">
        <v>0</v>
      </c>
      <c r="G12" s="10" t="s">
        <v>0</v>
      </c>
      <c r="H12" s="10" t="s">
        <v>0</v>
      </c>
      <c r="I12" s="10" t="s">
        <v>0</v>
      </c>
      <c r="J12" s="10" t="s">
        <v>0</v>
      </c>
      <c r="K12" s="27" t="s">
        <v>73</v>
      </c>
      <c r="L12" s="28">
        <f>IFERROR(VLOOKUP(K12,選択肢リスト!$F$3:$G$7,2,FALSE),M12)</f>
        <v>1</v>
      </c>
      <c r="M12" s="24">
        <v>0</v>
      </c>
      <c r="N12" s="24">
        <v>1</v>
      </c>
      <c r="O12" s="24"/>
      <c r="P12" s="24"/>
      <c r="Q12" s="24"/>
      <c r="R12" s="149" t="str">
        <f t="shared" si="4"/>
        <v/>
      </c>
      <c r="S12" s="24"/>
      <c r="T12" s="24"/>
      <c r="U12" s="24"/>
      <c r="V12" s="24"/>
      <c r="W12" s="24"/>
      <c r="X12" s="24">
        <f t="shared" si="2"/>
        <v>1</v>
      </c>
      <c r="Y12" s="24">
        <f t="shared" si="19"/>
        <v>0</v>
      </c>
      <c r="Z12" s="28">
        <f t="shared" si="19"/>
        <v>0</v>
      </c>
      <c r="AA12" s="28">
        <f t="shared" si="19"/>
        <v>0</v>
      </c>
      <c r="AB12" s="24">
        <f t="shared" si="3"/>
        <v>0</v>
      </c>
      <c r="AC12" s="24">
        <f t="shared" si="3"/>
        <v>0</v>
      </c>
      <c r="AD12" s="24">
        <f t="shared" si="3"/>
        <v>0</v>
      </c>
      <c r="AE12" s="24">
        <f t="shared" si="3"/>
        <v>0</v>
      </c>
      <c r="AF12" s="24"/>
      <c r="AG12" s="24"/>
      <c r="AH12" s="28"/>
      <c r="AI12" s="28"/>
      <c r="AJ12" s="24"/>
      <c r="AK12" s="24"/>
      <c r="AL12" s="24"/>
      <c r="AM12" s="24"/>
      <c r="AN12" s="24"/>
      <c r="AO12" s="24"/>
      <c r="AP12" s="28"/>
      <c r="AQ12" s="28"/>
      <c r="AR12" s="24"/>
      <c r="AS12" s="24"/>
      <c r="AT12" s="24"/>
      <c r="AU12" s="24"/>
      <c r="AV12" s="189"/>
    </row>
    <row r="13" spans="1:48" x14ac:dyDescent="0.4">
      <c r="A13" s="7" t="s">
        <v>518</v>
      </c>
      <c r="B13" s="10"/>
      <c r="C13" s="29" t="s">
        <v>66</v>
      </c>
      <c r="D13" s="10"/>
      <c r="E13" s="25" t="s">
        <v>111</v>
      </c>
      <c r="F13" s="10" t="s">
        <v>0</v>
      </c>
      <c r="G13" s="10" t="s">
        <v>0</v>
      </c>
      <c r="H13" s="10" t="s">
        <v>0</v>
      </c>
      <c r="I13" s="10" t="s">
        <v>0</v>
      </c>
      <c r="J13" s="10" t="s">
        <v>0</v>
      </c>
      <c r="K13" s="27" t="s">
        <v>73</v>
      </c>
      <c r="L13" s="28">
        <f>IFERROR(VLOOKUP(K13,選択肢リスト!$F$3:$G$7,2,FALSE),M13)</f>
        <v>1</v>
      </c>
      <c r="M13" s="24">
        <v>0</v>
      </c>
      <c r="N13" s="24">
        <v>1</v>
      </c>
      <c r="O13" s="24"/>
      <c r="P13" s="24"/>
      <c r="Q13" s="24"/>
      <c r="R13" s="149" t="str">
        <f t="shared" si="4"/>
        <v/>
      </c>
      <c r="S13" s="24"/>
      <c r="T13" s="24"/>
      <c r="U13" s="24"/>
      <c r="V13" s="24"/>
      <c r="W13" s="24"/>
      <c r="X13" s="24">
        <f t="shared" si="2"/>
        <v>1</v>
      </c>
      <c r="Y13" s="24">
        <f t="shared" ref="Y13" si="20">$L13*O13</f>
        <v>0</v>
      </c>
      <c r="Z13" s="28">
        <f t="shared" ref="Z13" si="21">$L13*P13</f>
        <v>0</v>
      </c>
      <c r="AA13" s="28">
        <f t="shared" ref="AA13" si="22">$L13*Q13</f>
        <v>0</v>
      </c>
      <c r="AB13" s="24">
        <f t="shared" ref="AB13" si="23">$L13*S13</f>
        <v>0</v>
      </c>
      <c r="AC13" s="24">
        <f t="shared" ref="AC13" si="24">$L13*T13</f>
        <v>0</v>
      </c>
      <c r="AD13" s="24">
        <f t="shared" ref="AD13" si="25">$L13*U13</f>
        <v>0</v>
      </c>
      <c r="AE13" s="24">
        <f t="shared" ref="AE13" si="26">$L13*V13</f>
        <v>0</v>
      </c>
      <c r="AF13" s="24"/>
      <c r="AG13" s="24"/>
      <c r="AH13" s="28"/>
      <c r="AI13" s="28"/>
      <c r="AJ13" s="24"/>
      <c r="AK13" s="24"/>
      <c r="AL13" s="24"/>
      <c r="AM13" s="24"/>
      <c r="AN13" s="24"/>
      <c r="AO13" s="24"/>
      <c r="AP13" s="28"/>
      <c r="AQ13" s="28"/>
      <c r="AR13" s="24"/>
      <c r="AS13" s="24"/>
      <c r="AT13" s="24"/>
      <c r="AU13" s="24"/>
      <c r="AV13" s="189"/>
    </row>
    <row r="14" spans="1:48" ht="37.5" x14ac:dyDescent="0.4">
      <c r="A14" s="7" t="s">
        <v>558</v>
      </c>
      <c r="B14" s="207" t="s">
        <v>121</v>
      </c>
      <c r="C14" s="26" t="s">
        <v>65</v>
      </c>
      <c r="D14" s="10"/>
      <c r="E14" s="193" t="s">
        <v>476</v>
      </c>
      <c r="F14" s="10" t="s">
        <v>69</v>
      </c>
      <c r="G14" s="10"/>
      <c r="H14" s="10" t="s">
        <v>0</v>
      </c>
      <c r="I14" s="10" t="s">
        <v>0</v>
      </c>
      <c r="J14" s="10" t="s">
        <v>0</v>
      </c>
      <c r="K14" s="182" t="s">
        <v>70</v>
      </c>
      <c r="L14" s="183">
        <f>IFERROR(VLOOKUP(K14,選択肢リスト!$B$3:$C$6,2,FALSE),M14)</f>
        <v>2</v>
      </c>
      <c r="M14" s="24">
        <v>0</v>
      </c>
      <c r="N14" s="24"/>
      <c r="O14" s="24"/>
      <c r="P14" s="203">
        <v>2</v>
      </c>
      <c r="Q14" s="204"/>
      <c r="R14" s="149" t="str">
        <f t="shared" si="4"/>
        <v>〇</v>
      </c>
      <c r="S14" s="24"/>
      <c r="T14" s="24"/>
      <c r="U14" s="24"/>
      <c r="V14" s="24"/>
      <c r="W14" s="24"/>
      <c r="X14" s="24">
        <f t="shared" ref="X14:X26" si="27">$L14*N14</f>
        <v>0</v>
      </c>
      <c r="Y14" s="24">
        <f t="shared" ref="Y14:Y26" si="28">$L14*O14</f>
        <v>0</v>
      </c>
      <c r="Z14" s="183">
        <f t="shared" ref="Z14:Z26" si="29">$L14*P14</f>
        <v>4</v>
      </c>
      <c r="AA14" s="183">
        <f t="shared" ref="AA14:AA26" si="30">$L14*Q14</f>
        <v>0</v>
      </c>
      <c r="AB14" s="24">
        <f t="shared" ref="AB14:AB26" si="31">$L14*S14</f>
        <v>0</v>
      </c>
      <c r="AC14" s="24">
        <f t="shared" ref="AC14:AC26" si="32">$L14*T14</f>
        <v>0</v>
      </c>
      <c r="AD14" s="24">
        <f t="shared" ref="AD14:AD26" si="33">$L14*U14</f>
        <v>0</v>
      </c>
      <c r="AE14" s="24">
        <f t="shared" ref="AE14:AE26" si="34">$L14*V14</f>
        <v>0</v>
      </c>
      <c r="AF14" s="24"/>
      <c r="AG14" s="24"/>
      <c r="AH14" s="183">
        <f>IF(K14="△不明",0,IF(C14="リスク確認",2*P14,IF(C14="対策確認",1*P14,"ERROR")))</f>
        <v>4</v>
      </c>
      <c r="AI14" s="183">
        <f>IF(K14="△不明",0,IF(C14="リスク確認",2*Q14,IF(C14="対策確認",1*Q14,"ERROR")))</f>
        <v>0</v>
      </c>
      <c r="AJ14" s="24">
        <f t="shared" ref="AJ14:AJ38" si="35">S14*$M14</f>
        <v>0</v>
      </c>
      <c r="AK14" s="24">
        <f t="shared" ref="AK14:AK38" si="36">T14*$M14</f>
        <v>0</v>
      </c>
      <c r="AL14" s="24">
        <f t="shared" ref="AL14:AL38" si="37">U14*$M14</f>
        <v>0</v>
      </c>
      <c r="AM14" s="24">
        <f t="shared" ref="AM14:AM38" si="38">V14*$M14</f>
        <v>0</v>
      </c>
      <c r="AN14" s="24"/>
      <c r="AO14" s="24"/>
      <c r="AP14" s="183">
        <f>IF(K14="△不明",0,IF(C14="リスク確認",0*P14,IF(C14="対策確認",-1*P14,"ERROR")))</f>
        <v>0</v>
      </c>
      <c r="AQ14" s="183">
        <f>IF(K14="△不明",0,IF(C14="リスク確認",0*Q14,IF(C14="対策確認",-1*Q14,"ERROR")))</f>
        <v>0</v>
      </c>
      <c r="AR14" s="24"/>
      <c r="AS14" s="24"/>
      <c r="AT14" s="24"/>
      <c r="AU14" s="24"/>
    </row>
    <row r="15" spans="1:48" ht="37.5" x14ac:dyDescent="0.4">
      <c r="A15" s="7" t="s">
        <v>558</v>
      </c>
      <c r="B15" s="207" t="s">
        <v>521</v>
      </c>
      <c r="C15" s="26" t="s">
        <v>65</v>
      </c>
      <c r="D15" s="10"/>
      <c r="E15" s="193" t="s">
        <v>477</v>
      </c>
      <c r="F15" s="10" t="s">
        <v>0</v>
      </c>
      <c r="G15" s="10"/>
      <c r="H15" s="10" t="s">
        <v>0</v>
      </c>
      <c r="I15" s="10" t="s">
        <v>0</v>
      </c>
      <c r="J15" s="10" t="s">
        <v>0</v>
      </c>
      <c r="K15" s="182" t="s">
        <v>70</v>
      </c>
      <c r="L15" s="183">
        <f>IFERROR(VLOOKUP(K15,選択肢リスト!$B$3:$C$6,2,FALSE),M15)</f>
        <v>2</v>
      </c>
      <c r="M15" s="24">
        <v>0</v>
      </c>
      <c r="N15" s="24"/>
      <c r="O15" s="24"/>
      <c r="P15" s="203">
        <v>4</v>
      </c>
      <c r="Q15" s="204"/>
      <c r="R15" s="149" t="str">
        <f t="shared" si="4"/>
        <v>〇</v>
      </c>
      <c r="S15" s="24"/>
      <c r="T15" s="24"/>
      <c r="U15" s="24"/>
      <c r="V15" s="24"/>
      <c r="W15" s="24"/>
      <c r="X15" s="24">
        <f t="shared" ref="X15" si="39">$L15*N15</f>
        <v>0</v>
      </c>
      <c r="Y15" s="24">
        <f t="shared" ref="Y15" si="40">$L15*O15</f>
        <v>0</v>
      </c>
      <c r="Z15" s="183">
        <f t="shared" ref="Z15" si="41">$L15*P15</f>
        <v>8</v>
      </c>
      <c r="AA15" s="183">
        <f t="shared" ref="AA15" si="42">$L15*Q15</f>
        <v>0</v>
      </c>
      <c r="AB15" s="24">
        <f t="shared" ref="AB15" si="43">$L15*S15</f>
        <v>0</v>
      </c>
      <c r="AC15" s="24">
        <f t="shared" ref="AC15" si="44">$L15*T15</f>
        <v>0</v>
      </c>
      <c r="AD15" s="24">
        <f t="shared" ref="AD15" si="45">$L15*U15</f>
        <v>0</v>
      </c>
      <c r="AE15" s="24">
        <f t="shared" ref="AE15" si="46">$L15*V15</f>
        <v>0</v>
      </c>
      <c r="AF15" s="24"/>
      <c r="AG15" s="24"/>
      <c r="AH15" s="183">
        <f t="shared" ref="AH15:AH42" si="47">IF(K15="△不明",0,IF(C15="リスク確認",2*P15,IF(C15="対策確認",1*P15,"ERROR")))</f>
        <v>8</v>
      </c>
      <c r="AI15" s="183">
        <f t="shared" ref="AI15:AI42" si="48">IF(K15="△不明",0,IF(C15="リスク確認",2*Q15,IF(C15="対策確認",1*Q15,"ERROR")))</f>
        <v>0</v>
      </c>
      <c r="AJ15" s="24">
        <f t="shared" si="35"/>
        <v>0</v>
      </c>
      <c r="AK15" s="24">
        <f t="shared" si="36"/>
        <v>0</v>
      </c>
      <c r="AL15" s="24">
        <f t="shared" si="37"/>
        <v>0</v>
      </c>
      <c r="AM15" s="24">
        <f t="shared" si="38"/>
        <v>0</v>
      </c>
      <c r="AN15" s="24"/>
      <c r="AO15" s="24"/>
      <c r="AP15" s="183">
        <f>IF(K15="△不明",0,IF(C15="リスク確認",0*P15,IF(C15="対策確認",-1*P15,"ERROR")))</f>
        <v>0</v>
      </c>
      <c r="AQ15" s="183">
        <f>IF(K15="△不明",0,IF(C15="リスク確認",0*Q15,IF(C15="対策確認",-1*Q15,"ERROR")))</f>
        <v>0</v>
      </c>
      <c r="AR15" s="24"/>
      <c r="AS15" s="24"/>
      <c r="AT15" s="24"/>
      <c r="AU15" s="24"/>
    </row>
    <row r="16" spans="1:48" ht="37.5" x14ac:dyDescent="0.4">
      <c r="A16" s="7" t="s">
        <v>558</v>
      </c>
      <c r="B16" s="207" t="s">
        <v>522</v>
      </c>
      <c r="C16" s="26" t="s">
        <v>65</v>
      </c>
      <c r="D16" s="10"/>
      <c r="E16" s="193" t="s">
        <v>478</v>
      </c>
      <c r="F16" s="10" t="s">
        <v>0</v>
      </c>
      <c r="G16" s="10" t="s">
        <v>0</v>
      </c>
      <c r="H16" s="10" t="s">
        <v>0</v>
      </c>
      <c r="I16" s="10" t="s">
        <v>0</v>
      </c>
      <c r="J16" s="10" t="s">
        <v>0</v>
      </c>
      <c r="K16" s="182" t="s">
        <v>70</v>
      </c>
      <c r="L16" s="184">
        <f>IFERROR(VLOOKUP(K16,選択肢リスト!$B$3:$C$6,2,FALSE),M16)</f>
        <v>2</v>
      </c>
      <c r="M16" s="24">
        <v>0</v>
      </c>
      <c r="N16" s="24"/>
      <c r="O16" s="24"/>
      <c r="P16" s="203">
        <v>2</v>
      </c>
      <c r="Q16" s="204"/>
      <c r="R16" s="149" t="str">
        <f t="shared" si="4"/>
        <v>〇</v>
      </c>
      <c r="S16" s="24"/>
      <c r="T16" s="24">
        <v>1</v>
      </c>
      <c r="U16" s="24"/>
      <c r="V16" s="24"/>
      <c r="W16" s="24"/>
      <c r="X16" s="24">
        <f t="shared" si="27"/>
        <v>0</v>
      </c>
      <c r="Y16" s="24">
        <f t="shared" si="28"/>
        <v>0</v>
      </c>
      <c r="Z16" s="184">
        <f t="shared" si="29"/>
        <v>4</v>
      </c>
      <c r="AA16" s="184">
        <f t="shared" si="30"/>
        <v>0</v>
      </c>
      <c r="AB16" s="24">
        <f t="shared" si="31"/>
        <v>0</v>
      </c>
      <c r="AC16" s="24">
        <f t="shared" si="32"/>
        <v>2</v>
      </c>
      <c r="AD16" s="24">
        <f t="shared" si="33"/>
        <v>0</v>
      </c>
      <c r="AE16" s="24">
        <f t="shared" si="34"/>
        <v>0</v>
      </c>
      <c r="AF16" s="24"/>
      <c r="AG16" s="24"/>
      <c r="AH16" s="184">
        <f t="shared" si="47"/>
        <v>4</v>
      </c>
      <c r="AI16" s="184">
        <f t="shared" si="48"/>
        <v>0</v>
      </c>
      <c r="AJ16" s="24">
        <f t="shared" si="35"/>
        <v>0</v>
      </c>
      <c r="AK16" s="24">
        <f t="shared" si="36"/>
        <v>0</v>
      </c>
      <c r="AL16" s="24">
        <f t="shared" si="37"/>
        <v>0</v>
      </c>
      <c r="AM16" s="24">
        <f t="shared" si="38"/>
        <v>0</v>
      </c>
      <c r="AN16" s="24"/>
      <c r="AO16" s="24"/>
      <c r="AP16" s="183">
        <f>IF(K16="△不明",0,IF(C16="リスク確認",0*P16,IF(C16="対策確認",-1*P16,"ERROR")))</f>
        <v>0</v>
      </c>
      <c r="AQ16" s="183">
        <f>IF(K16="△不明",0,IF(C16="リスク確認",0*Q16,IF(C16="対策確認",-1*Q16,"ERROR")))</f>
        <v>0</v>
      </c>
      <c r="AR16" s="24"/>
      <c r="AS16" s="24"/>
      <c r="AT16" s="24"/>
      <c r="AU16" s="24"/>
    </row>
    <row r="17" spans="1:48" x14ac:dyDescent="0.4">
      <c r="A17" s="7" t="s">
        <v>558</v>
      </c>
      <c r="B17" s="207" t="s">
        <v>523</v>
      </c>
      <c r="C17" s="29" t="s">
        <v>66</v>
      </c>
      <c r="D17" s="10"/>
      <c r="E17" s="197" t="s">
        <v>472</v>
      </c>
      <c r="F17" s="10" t="s">
        <v>0</v>
      </c>
      <c r="G17" s="10"/>
      <c r="H17" s="10" t="s">
        <v>0</v>
      </c>
      <c r="I17" s="10" t="s">
        <v>0</v>
      </c>
      <c r="J17" s="10" t="s">
        <v>0</v>
      </c>
      <c r="K17" s="27" t="s">
        <v>91</v>
      </c>
      <c r="L17" s="28">
        <f>IFERROR(VLOOKUP(K17,選択肢リスト!$F$3:$G$7,2,FALSE),M17)</f>
        <v>1</v>
      </c>
      <c r="M17" s="24">
        <v>0</v>
      </c>
      <c r="N17" s="24"/>
      <c r="O17" s="24"/>
      <c r="P17" s="205">
        <v>1</v>
      </c>
      <c r="Q17" s="204"/>
      <c r="R17" s="149" t="str">
        <f t="shared" si="4"/>
        <v>〇</v>
      </c>
      <c r="S17" s="24"/>
      <c r="T17" s="24">
        <v>1</v>
      </c>
      <c r="U17" s="24"/>
      <c r="V17" s="24"/>
      <c r="W17" s="24"/>
      <c r="X17" s="24">
        <f t="shared" ref="X17" si="49">$L17*N17</f>
        <v>0</v>
      </c>
      <c r="Y17" s="24">
        <f t="shared" ref="Y17" si="50">$L17*O17</f>
        <v>0</v>
      </c>
      <c r="Z17" s="28">
        <f t="shared" ref="Z17" si="51">$L17*P17</f>
        <v>1</v>
      </c>
      <c r="AA17" s="28">
        <f t="shared" ref="AA17" si="52">$L17*Q17</f>
        <v>0</v>
      </c>
      <c r="AB17" s="24">
        <f t="shared" ref="AB17" si="53">$L17*S17</f>
        <v>0</v>
      </c>
      <c r="AC17" s="24">
        <f t="shared" ref="AC17" si="54">$L17*T17</f>
        <v>1</v>
      </c>
      <c r="AD17" s="24">
        <f t="shared" ref="AD17" si="55">$L17*U17</f>
        <v>0</v>
      </c>
      <c r="AE17" s="24">
        <f t="shared" ref="AE17" si="56">$L17*V17</f>
        <v>0</v>
      </c>
      <c r="AF17" s="24"/>
      <c r="AG17" s="24"/>
      <c r="AH17" s="28">
        <f>IF(K17="□不要、対象外",0,IF(C17="リスク確認",2*P17,IF(C17="対策確認",1*P17,"ERROR")))</f>
        <v>1</v>
      </c>
      <c r="AI17" s="28">
        <f>IF(K17="□不要、対象外",0,IF(C17="リスク確認",2*Q17,IF(C17="対策確認",1*Q17,"ERROR")))</f>
        <v>0</v>
      </c>
      <c r="AJ17" s="24">
        <f t="shared" si="35"/>
        <v>0</v>
      </c>
      <c r="AK17" s="24">
        <f t="shared" si="36"/>
        <v>0</v>
      </c>
      <c r="AL17" s="24">
        <f t="shared" si="37"/>
        <v>0</v>
      </c>
      <c r="AM17" s="24">
        <f t="shared" si="38"/>
        <v>0</v>
      </c>
      <c r="AN17" s="24"/>
      <c r="AO17" s="24"/>
      <c r="AP17" s="28">
        <f>IF(K17="□不要、対象外",0,IF(C17="リスク確認",0*P17,IF(C17="対策確認",-1*P17,"ERROR")))</f>
        <v>-1</v>
      </c>
      <c r="AQ17" s="28">
        <f>IF(K17="□不要、対象外",0,IF(C17="リスク確認",0*Q17,IF(C17="対策確認",-1*Q17,"ERROR")))</f>
        <v>0</v>
      </c>
      <c r="AR17" s="24"/>
      <c r="AS17" s="24"/>
      <c r="AT17" s="24"/>
      <c r="AU17" s="24"/>
      <c r="AV17" s="186" t="s">
        <v>598</v>
      </c>
    </row>
    <row r="18" spans="1:48" ht="37.5" x14ac:dyDescent="0.4">
      <c r="A18" s="7" t="s">
        <v>558</v>
      </c>
      <c r="B18" s="10" t="s">
        <v>524</v>
      </c>
      <c r="C18" s="26" t="s">
        <v>65</v>
      </c>
      <c r="D18" s="10"/>
      <c r="E18" s="193" t="s">
        <v>479</v>
      </c>
      <c r="F18" s="10" t="s">
        <v>0</v>
      </c>
      <c r="G18" s="10" t="s">
        <v>0</v>
      </c>
      <c r="H18" s="10" t="s">
        <v>0</v>
      </c>
      <c r="I18" s="10" t="s">
        <v>0</v>
      </c>
      <c r="J18" s="10" t="s">
        <v>0</v>
      </c>
      <c r="K18" s="182" t="s">
        <v>71</v>
      </c>
      <c r="L18" s="184">
        <f>IFERROR(VLOOKUP(K18,選択肢リスト!$B$3:$C$6,2,FALSE),M18)</f>
        <v>1</v>
      </c>
      <c r="M18" s="24">
        <v>0</v>
      </c>
      <c r="N18" s="24"/>
      <c r="O18" s="24">
        <v>1</v>
      </c>
      <c r="P18" s="203">
        <v>1</v>
      </c>
      <c r="Q18" s="203">
        <v>1</v>
      </c>
      <c r="R18" s="149" t="str">
        <f t="shared" si="4"/>
        <v>〇</v>
      </c>
      <c r="S18" s="24"/>
      <c r="T18" s="24"/>
      <c r="U18" s="24"/>
      <c r="V18" s="24"/>
      <c r="W18" s="24"/>
      <c r="X18" s="24">
        <f t="shared" si="27"/>
        <v>0</v>
      </c>
      <c r="Y18" s="24">
        <f t="shared" si="28"/>
        <v>1</v>
      </c>
      <c r="Z18" s="184">
        <f t="shared" si="29"/>
        <v>1</v>
      </c>
      <c r="AA18" s="184">
        <f t="shared" si="30"/>
        <v>1</v>
      </c>
      <c r="AB18" s="24">
        <f t="shared" si="31"/>
        <v>0</v>
      </c>
      <c r="AC18" s="24">
        <f t="shared" si="32"/>
        <v>0</v>
      </c>
      <c r="AD18" s="24">
        <f t="shared" si="33"/>
        <v>0</v>
      </c>
      <c r="AE18" s="24">
        <f t="shared" si="34"/>
        <v>0</v>
      </c>
      <c r="AF18" s="24"/>
      <c r="AG18" s="24"/>
      <c r="AH18" s="184">
        <f t="shared" si="47"/>
        <v>2</v>
      </c>
      <c r="AI18" s="184">
        <f t="shared" si="48"/>
        <v>2</v>
      </c>
      <c r="AJ18" s="24">
        <f t="shared" si="35"/>
        <v>0</v>
      </c>
      <c r="AK18" s="24">
        <f t="shared" si="36"/>
        <v>0</v>
      </c>
      <c r="AL18" s="24">
        <f t="shared" si="37"/>
        <v>0</v>
      </c>
      <c r="AM18" s="24">
        <f t="shared" si="38"/>
        <v>0</v>
      </c>
      <c r="AN18" s="24"/>
      <c r="AO18" s="24"/>
      <c r="AP18" s="183">
        <f t="shared" ref="AP18:AP26" si="57">IF(K18="△不明",0,IF(C18="リスク確認",0*P18,IF(C18="対策確認",-1*P18,"ERROR")))</f>
        <v>0</v>
      </c>
      <c r="AQ18" s="183">
        <f t="shared" ref="AQ18:AQ26" si="58">IF(K18="△不明",0,IF(C18="リスク確認",0*Q18,IF(C18="対策確認",-1*Q18,"ERROR")))</f>
        <v>0</v>
      </c>
      <c r="AR18" s="24"/>
      <c r="AS18" s="24"/>
      <c r="AT18" s="24"/>
      <c r="AU18" s="24"/>
    </row>
    <row r="19" spans="1:48" ht="37.5" x14ac:dyDescent="0.4">
      <c r="A19" s="7" t="s">
        <v>558</v>
      </c>
      <c r="B19" s="10" t="s">
        <v>525</v>
      </c>
      <c r="C19" s="26" t="s">
        <v>65</v>
      </c>
      <c r="D19" s="10"/>
      <c r="E19" s="193" t="s">
        <v>480</v>
      </c>
      <c r="F19" s="10" t="s">
        <v>0</v>
      </c>
      <c r="G19" s="10" t="s">
        <v>0</v>
      </c>
      <c r="H19" s="10" t="s">
        <v>0</v>
      </c>
      <c r="I19" s="10" t="s">
        <v>0</v>
      </c>
      <c r="J19" s="10" t="s">
        <v>0</v>
      </c>
      <c r="K19" s="182" t="s">
        <v>72</v>
      </c>
      <c r="L19" s="184">
        <f>IFERROR(VLOOKUP(K19,選択肢リスト!$B$3:$C$6,2,FALSE),M19)</f>
        <v>0</v>
      </c>
      <c r="M19" s="24">
        <v>0</v>
      </c>
      <c r="N19" s="24"/>
      <c r="O19" s="24"/>
      <c r="P19" s="203">
        <v>1</v>
      </c>
      <c r="Q19" s="204"/>
      <c r="R19" s="149" t="str">
        <f t="shared" si="4"/>
        <v>〇</v>
      </c>
      <c r="S19" s="24"/>
      <c r="T19" s="24"/>
      <c r="U19" s="24"/>
      <c r="V19" s="24"/>
      <c r="W19" s="24"/>
      <c r="X19" s="24">
        <f t="shared" si="27"/>
        <v>0</v>
      </c>
      <c r="Y19" s="24">
        <f t="shared" si="28"/>
        <v>0</v>
      </c>
      <c r="Z19" s="184">
        <f t="shared" si="29"/>
        <v>0</v>
      </c>
      <c r="AA19" s="184">
        <f t="shared" si="30"/>
        <v>0</v>
      </c>
      <c r="AB19" s="24">
        <f t="shared" si="31"/>
        <v>0</v>
      </c>
      <c r="AC19" s="24">
        <f t="shared" si="32"/>
        <v>0</v>
      </c>
      <c r="AD19" s="24">
        <f t="shared" si="33"/>
        <v>0</v>
      </c>
      <c r="AE19" s="24">
        <f t="shared" si="34"/>
        <v>0</v>
      </c>
      <c r="AF19" s="24"/>
      <c r="AG19" s="24"/>
      <c r="AH19" s="184">
        <f t="shared" si="47"/>
        <v>2</v>
      </c>
      <c r="AI19" s="184">
        <f t="shared" si="48"/>
        <v>0</v>
      </c>
      <c r="AJ19" s="24">
        <f t="shared" si="35"/>
        <v>0</v>
      </c>
      <c r="AK19" s="24">
        <f t="shared" si="36"/>
        <v>0</v>
      </c>
      <c r="AL19" s="24">
        <f t="shared" si="37"/>
        <v>0</v>
      </c>
      <c r="AM19" s="24">
        <f t="shared" si="38"/>
        <v>0</v>
      </c>
      <c r="AN19" s="24"/>
      <c r="AO19" s="24"/>
      <c r="AP19" s="183">
        <f t="shared" si="57"/>
        <v>0</v>
      </c>
      <c r="AQ19" s="183">
        <f t="shared" si="58"/>
        <v>0</v>
      </c>
      <c r="AR19" s="24"/>
      <c r="AS19" s="24"/>
      <c r="AT19" s="24"/>
      <c r="AU19" s="24"/>
      <c r="AV19" s="186" t="s">
        <v>599</v>
      </c>
    </row>
    <row r="20" spans="1:48" x14ac:dyDescent="0.4">
      <c r="A20" s="7" t="s">
        <v>558</v>
      </c>
      <c r="B20" s="207" t="s">
        <v>526</v>
      </c>
      <c r="C20" s="26" t="s">
        <v>65</v>
      </c>
      <c r="D20" s="10"/>
      <c r="E20" s="193" t="s">
        <v>493</v>
      </c>
      <c r="F20" s="10" t="s">
        <v>0</v>
      </c>
      <c r="G20" s="10" t="s">
        <v>0</v>
      </c>
      <c r="H20" s="10" t="s">
        <v>0</v>
      </c>
      <c r="I20" s="10" t="s">
        <v>0</v>
      </c>
      <c r="J20" s="10" t="s">
        <v>0</v>
      </c>
      <c r="K20" s="182" t="s">
        <v>72</v>
      </c>
      <c r="L20" s="184">
        <f>IFERROR(VLOOKUP(K20,選択肢リスト!$B$3:$C$6,2,FALSE),M20)</f>
        <v>0</v>
      </c>
      <c r="M20" s="24">
        <v>0</v>
      </c>
      <c r="N20" s="24"/>
      <c r="O20" s="24"/>
      <c r="P20" s="203">
        <v>1</v>
      </c>
      <c r="Q20" s="204"/>
      <c r="R20" s="149" t="str">
        <f t="shared" si="4"/>
        <v>〇</v>
      </c>
      <c r="S20" s="24"/>
      <c r="T20" s="24"/>
      <c r="U20" s="24"/>
      <c r="V20" s="24"/>
      <c r="W20" s="24"/>
      <c r="X20" s="24">
        <f t="shared" ref="X20:AA21" si="59">$L20*N20</f>
        <v>0</v>
      </c>
      <c r="Y20" s="24">
        <f t="shared" si="59"/>
        <v>0</v>
      </c>
      <c r="Z20" s="184">
        <f t="shared" si="59"/>
        <v>0</v>
      </c>
      <c r="AA20" s="184">
        <f t="shared" si="59"/>
        <v>0</v>
      </c>
      <c r="AB20" s="24">
        <f t="shared" ref="AB20:AE21" si="60">$L20*S20</f>
        <v>0</v>
      </c>
      <c r="AC20" s="24">
        <f t="shared" si="60"/>
        <v>0</v>
      </c>
      <c r="AD20" s="24">
        <f t="shared" si="60"/>
        <v>0</v>
      </c>
      <c r="AE20" s="24">
        <f t="shared" si="60"/>
        <v>0</v>
      </c>
      <c r="AF20" s="24"/>
      <c r="AG20" s="24"/>
      <c r="AH20" s="184">
        <f t="shared" si="47"/>
        <v>2</v>
      </c>
      <c r="AI20" s="184">
        <f t="shared" si="48"/>
        <v>0</v>
      </c>
      <c r="AJ20" s="24">
        <f t="shared" si="35"/>
        <v>0</v>
      </c>
      <c r="AK20" s="24">
        <f t="shared" si="36"/>
        <v>0</v>
      </c>
      <c r="AL20" s="24">
        <f t="shared" si="37"/>
        <v>0</v>
      </c>
      <c r="AM20" s="24">
        <f t="shared" si="38"/>
        <v>0</v>
      </c>
      <c r="AN20" s="24"/>
      <c r="AO20" s="24"/>
      <c r="AP20" s="183">
        <f t="shared" si="57"/>
        <v>0</v>
      </c>
      <c r="AQ20" s="183">
        <f t="shared" si="58"/>
        <v>0</v>
      </c>
      <c r="AR20" s="24"/>
      <c r="AS20" s="24"/>
      <c r="AT20" s="24"/>
      <c r="AU20" s="24"/>
      <c r="AV20" s="186" t="s">
        <v>599</v>
      </c>
    </row>
    <row r="21" spans="1:48" x14ac:dyDescent="0.4">
      <c r="A21" s="7" t="s">
        <v>558</v>
      </c>
      <c r="B21" s="207" t="s">
        <v>527</v>
      </c>
      <c r="C21" s="26" t="s">
        <v>65</v>
      </c>
      <c r="D21" s="10"/>
      <c r="E21" s="193" t="s">
        <v>449</v>
      </c>
      <c r="F21" s="10" t="s">
        <v>0</v>
      </c>
      <c r="G21" s="10" t="s">
        <v>0</v>
      </c>
      <c r="H21" s="10" t="s">
        <v>0</v>
      </c>
      <c r="I21" s="10" t="s">
        <v>0</v>
      </c>
      <c r="J21" s="10" t="s">
        <v>0</v>
      </c>
      <c r="K21" s="182" t="s">
        <v>72</v>
      </c>
      <c r="L21" s="184">
        <f>IFERROR(VLOOKUP(K21,選択肢リスト!$B$3:$C$6,2,FALSE),M21)</f>
        <v>0</v>
      </c>
      <c r="M21" s="24">
        <v>0</v>
      </c>
      <c r="N21" s="24"/>
      <c r="O21" s="24"/>
      <c r="P21" s="203">
        <v>1</v>
      </c>
      <c r="Q21" s="204"/>
      <c r="R21" s="149" t="str">
        <f t="shared" si="4"/>
        <v>〇</v>
      </c>
      <c r="S21" s="24"/>
      <c r="T21" s="24"/>
      <c r="U21" s="24"/>
      <c r="V21" s="24"/>
      <c r="W21" s="24"/>
      <c r="X21" s="24">
        <f t="shared" si="59"/>
        <v>0</v>
      </c>
      <c r="Y21" s="24">
        <f t="shared" si="59"/>
        <v>0</v>
      </c>
      <c r="Z21" s="184">
        <f t="shared" si="59"/>
        <v>0</v>
      </c>
      <c r="AA21" s="184">
        <f t="shared" si="59"/>
        <v>0</v>
      </c>
      <c r="AB21" s="24">
        <f t="shared" si="60"/>
        <v>0</v>
      </c>
      <c r="AC21" s="24">
        <f t="shared" si="60"/>
        <v>0</v>
      </c>
      <c r="AD21" s="24">
        <f t="shared" si="60"/>
        <v>0</v>
      </c>
      <c r="AE21" s="24">
        <f t="shared" si="60"/>
        <v>0</v>
      </c>
      <c r="AF21" s="24"/>
      <c r="AG21" s="24"/>
      <c r="AH21" s="184">
        <f t="shared" si="47"/>
        <v>2</v>
      </c>
      <c r="AI21" s="184">
        <f t="shared" si="48"/>
        <v>0</v>
      </c>
      <c r="AJ21" s="24">
        <f t="shared" si="35"/>
        <v>0</v>
      </c>
      <c r="AK21" s="24">
        <f t="shared" si="36"/>
        <v>0</v>
      </c>
      <c r="AL21" s="24">
        <f t="shared" si="37"/>
        <v>0</v>
      </c>
      <c r="AM21" s="24">
        <f t="shared" si="38"/>
        <v>0</v>
      </c>
      <c r="AN21" s="24"/>
      <c r="AO21" s="24"/>
      <c r="AP21" s="183">
        <f t="shared" si="57"/>
        <v>0</v>
      </c>
      <c r="AQ21" s="183">
        <f t="shared" si="58"/>
        <v>0</v>
      </c>
      <c r="AR21" s="24"/>
      <c r="AS21" s="24"/>
      <c r="AT21" s="24"/>
      <c r="AU21" s="24"/>
      <c r="AV21" s="186" t="s">
        <v>599</v>
      </c>
    </row>
    <row r="22" spans="1:48" ht="56.25" x14ac:dyDescent="0.4">
      <c r="A22" s="7" t="s">
        <v>558</v>
      </c>
      <c r="B22" s="207" t="s">
        <v>528</v>
      </c>
      <c r="C22" s="26" t="s">
        <v>65</v>
      </c>
      <c r="D22" s="10"/>
      <c r="E22" s="193" t="s">
        <v>481</v>
      </c>
      <c r="F22" s="10" t="s">
        <v>0</v>
      </c>
      <c r="G22" s="10" t="s">
        <v>0</v>
      </c>
      <c r="H22" s="10" t="s">
        <v>0</v>
      </c>
      <c r="I22" s="10" t="s">
        <v>0</v>
      </c>
      <c r="J22" s="10" t="s">
        <v>0</v>
      </c>
      <c r="K22" s="182" t="s">
        <v>70</v>
      </c>
      <c r="L22" s="184">
        <f>IFERROR(VLOOKUP(K22,選択肢リスト!$B$3:$C$6,2,FALSE),M22)</f>
        <v>2</v>
      </c>
      <c r="M22" s="24">
        <v>0</v>
      </c>
      <c r="N22" s="24"/>
      <c r="O22" s="24"/>
      <c r="P22" s="203">
        <v>1</v>
      </c>
      <c r="Q22" s="204"/>
      <c r="R22" s="149" t="str">
        <f t="shared" si="4"/>
        <v>〇</v>
      </c>
      <c r="S22" s="24"/>
      <c r="T22" s="24"/>
      <c r="U22" s="24"/>
      <c r="V22" s="24"/>
      <c r="W22" s="24"/>
      <c r="X22" s="24">
        <f t="shared" si="27"/>
        <v>0</v>
      </c>
      <c r="Y22" s="24">
        <f t="shared" si="28"/>
        <v>0</v>
      </c>
      <c r="Z22" s="184">
        <f t="shared" si="29"/>
        <v>2</v>
      </c>
      <c r="AA22" s="184">
        <f t="shared" si="30"/>
        <v>0</v>
      </c>
      <c r="AB22" s="24">
        <f t="shared" si="31"/>
        <v>0</v>
      </c>
      <c r="AC22" s="24">
        <f t="shared" si="32"/>
        <v>0</v>
      </c>
      <c r="AD22" s="24">
        <f t="shared" si="33"/>
        <v>0</v>
      </c>
      <c r="AE22" s="24">
        <f t="shared" si="34"/>
        <v>0</v>
      </c>
      <c r="AF22" s="24"/>
      <c r="AG22" s="24"/>
      <c r="AH22" s="184">
        <f t="shared" si="47"/>
        <v>2</v>
      </c>
      <c r="AI22" s="184">
        <f t="shared" si="48"/>
        <v>0</v>
      </c>
      <c r="AJ22" s="24">
        <f t="shared" si="35"/>
        <v>0</v>
      </c>
      <c r="AK22" s="24">
        <f t="shared" si="36"/>
        <v>0</v>
      </c>
      <c r="AL22" s="24">
        <f t="shared" si="37"/>
        <v>0</v>
      </c>
      <c r="AM22" s="24">
        <f t="shared" si="38"/>
        <v>0</v>
      </c>
      <c r="AN22" s="24"/>
      <c r="AO22" s="24"/>
      <c r="AP22" s="183">
        <f t="shared" si="57"/>
        <v>0</v>
      </c>
      <c r="AQ22" s="183">
        <f t="shared" si="58"/>
        <v>0</v>
      </c>
      <c r="AR22" s="24"/>
      <c r="AS22" s="24"/>
      <c r="AT22" s="24"/>
      <c r="AU22" s="24"/>
      <c r="AV22" s="186" t="s">
        <v>599</v>
      </c>
    </row>
    <row r="23" spans="1:48" x14ac:dyDescent="0.4">
      <c r="A23" s="7" t="s">
        <v>558</v>
      </c>
      <c r="B23" s="10" t="s">
        <v>529</v>
      </c>
      <c r="C23" s="26" t="s">
        <v>65</v>
      </c>
      <c r="D23" s="10"/>
      <c r="E23" s="193" t="s">
        <v>471</v>
      </c>
      <c r="F23" s="10" t="s">
        <v>0</v>
      </c>
      <c r="G23" s="10" t="s">
        <v>69</v>
      </c>
      <c r="H23" s="10" t="s">
        <v>0</v>
      </c>
      <c r="I23" s="10" t="s">
        <v>0</v>
      </c>
      <c r="J23" s="10" t="s">
        <v>0</v>
      </c>
      <c r="K23" s="182" t="s">
        <v>72</v>
      </c>
      <c r="L23" s="184">
        <f>IFERROR(VLOOKUP(K23,選択肢リスト!$B$3:$C$6,2,FALSE),M23)</f>
        <v>0</v>
      </c>
      <c r="M23" s="24">
        <v>0</v>
      </c>
      <c r="N23" s="24"/>
      <c r="O23" s="24"/>
      <c r="P23" s="203">
        <v>1</v>
      </c>
      <c r="Q23" s="204"/>
      <c r="R23" s="149" t="str">
        <f t="shared" si="4"/>
        <v>〇</v>
      </c>
      <c r="S23" s="24"/>
      <c r="T23" s="24">
        <v>1</v>
      </c>
      <c r="U23" s="24"/>
      <c r="V23" s="24"/>
      <c r="W23" s="24"/>
      <c r="X23" s="24">
        <f t="shared" ref="X23" si="61">$L23*N23</f>
        <v>0</v>
      </c>
      <c r="Y23" s="24">
        <f t="shared" ref="Y23" si="62">$L23*O23</f>
        <v>0</v>
      </c>
      <c r="Z23" s="184">
        <f t="shared" ref="Z23" si="63">$L23*P23</f>
        <v>0</v>
      </c>
      <c r="AA23" s="184">
        <f t="shared" ref="AA23" si="64">$L23*Q23</f>
        <v>0</v>
      </c>
      <c r="AB23" s="24">
        <f t="shared" ref="AB23" si="65">$L23*S23</f>
        <v>0</v>
      </c>
      <c r="AC23" s="24">
        <f t="shared" ref="AC23" si="66">$L23*T23</f>
        <v>0</v>
      </c>
      <c r="AD23" s="24">
        <f t="shared" ref="AD23" si="67">$L23*U23</f>
        <v>0</v>
      </c>
      <c r="AE23" s="24">
        <f t="shared" ref="AE23" si="68">$L23*V23</f>
        <v>0</v>
      </c>
      <c r="AF23" s="24"/>
      <c r="AG23" s="24"/>
      <c r="AH23" s="184">
        <f t="shared" si="47"/>
        <v>2</v>
      </c>
      <c r="AI23" s="184">
        <f t="shared" si="48"/>
        <v>0</v>
      </c>
      <c r="AJ23" s="24">
        <f t="shared" si="35"/>
        <v>0</v>
      </c>
      <c r="AK23" s="24">
        <f t="shared" si="36"/>
        <v>0</v>
      </c>
      <c r="AL23" s="24">
        <f t="shared" si="37"/>
        <v>0</v>
      </c>
      <c r="AM23" s="24">
        <f t="shared" si="38"/>
        <v>0</v>
      </c>
      <c r="AN23" s="24"/>
      <c r="AO23" s="24"/>
      <c r="AP23" s="183">
        <f t="shared" si="57"/>
        <v>0</v>
      </c>
      <c r="AQ23" s="183">
        <f t="shared" si="58"/>
        <v>0</v>
      </c>
      <c r="AR23" s="24"/>
      <c r="AS23" s="24"/>
      <c r="AT23" s="24"/>
      <c r="AU23" s="24"/>
      <c r="AV23" s="186" t="s">
        <v>599</v>
      </c>
    </row>
    <row r="24" spans="1:48" x14ac:dyDescent="0.4">
      <c r="A24" s="7" t="s">
        <v>558</v>
      </c>
      <c r="B24" s="207" t="s">
        <v>530</v>
      </c>
      <c r="C24" s="26" t="s">
        <v>65</v>
      </c>
      <c r="D24" s="10"/>
      <c r="E24" s="193" t="s">
        <v>54</v>
      </c>
      <c r="F24" s="10" t="s">
        <v>0</v>
      </c>
      <c r="G24" s="10" t="s">
        <v>0</v>
      </c>
      <c r="H24" s="10" t="s">
        <v>0</v>
      </c>
      <c r="I24" s="10" t="s">
        <v>0</v>
      </c>
      <c r="J24" s="10" t="s">
        <v>0</v>
      </c>
      <c r="K24" s="182" t="s">
        <v>71</v>
      </c>
      <c r="L24" s="184">
        <f>IFERROR(VLOOKUP(K24,選択肢リスト!$B$3:$C$6,2,FALSE),M24)</f>
        <v>1</v>
      </c>
      <c r="M24" s="24">
        <v>0</v>
      </c>
      <c r="N24" s="24"/>
      <c r="O24" s="24"/>
      <c r="P24" s="203">
        <v>1</v>
      </c>
      <c r="Q24" s="204"/>
      <c r="R24" s="149" t="str">
        <f t="shared" si="4"/>
        <v>〇</v>
      </c>
      <c r="S24" s="24"/>
      <c r="T24" s="24"/>
      <c r="U24" s="24"/>
      <c r="V24" s="24"/>
      <c r="W24" s="24"/>
      <c r="X24" s="24">
        <f t="shared" si="27"/>
        <v>0</v>
      </c>
      <c r="Y24" s="24">
        <f t="shared" si="28"/>
        <v>0</v>
      </c>
      <c r="Z24" s="184">
        <f t="shared" si="29"/>
        <v>1</v>
      </c>
      <c r="AA24" s="184">
        <f t="shared" si="30"/>
        <v>0</v>
      </c>
      <c r="AB24" s="24">
        <f t="shared" si="31"/>
        <v>0</v>
      </c>
      <c r="AC24" s="24">
        <f t="shared" si="32"/>
        <v>0</v>
      </c>
      <c r="AD24" s="24">
        <f t="shared" si="33"/>
        <v>0</v>
      </c>
      <c r="AE24" s="24">
        <f t="shared" si="34"/>
        <v>0</v>
      </c>
      <c r="AF24" s="24"/>
      <c r="AG24" s="24"/>
      <c r="AH24" s="184">
        <f t="shared" si="47"/>
        <v>2</v>
      </c>
      <c r="AI24" s="184">
        <f t="shared" si="48"/>
        <v>0</v>
      </c>
      <c r="AJ24" s="24">
        <f t="shared" si="35"/>
        <v>0</v>
      </c>
      <c r="AK24" s="24">
        <f t="shared" si="36"/>
        <v>0</v>
      </c>
      <c r="AL24" s="24">
        <f t="shared" si="37"/>
        <v>0</v>
      </c>
      <c r="AM24" s="24">
        <f t="shared" si="38"/>
        <v>0</v>
      </c>
      <c r="AN24" s="24"/>
      <c r="AO24" s="24"/>
      <c r="AP24" s="183">
        <f t="shared" si="57"/>
        <v>0</v>
      </c>
      <c r="AQ24" s="183">
        <f t="shared" si="58"/>
        <v>0</v>
      </c>
      <c r="AR24" s="24"/>
      <c r="AS24" s="24"/>
      <c r="AT24" s="24"/>
      <c r="AU24" s="24"/>
      <c r="AV24" s="186" t="s">
        <v>599</v>
      </c>
    </row>
    <row r="25" spans="1:48" x14ac:dyDescent="0.4">
      <c r="A25" s="7" t="s">
        <v>558</v>
      </c>
      <c r="B25" s="207" t="s">
        <v>531</v>
      </c>
      <c r="C25" s="26" t="s">
        <v>65</v>
      </c>
      <c r="D25" s="10"/>
      <c r="E25" s="193" t="s">
        <v>74</v>
      </c>
      <c r="F25" s="10" t="s">
        <v>0</v>
      </c>
      <c r="G25" s="10"/>
      <c r="H25" s="10" t="s">
        <v>0</v>
      </c>
      <c r="I25" s="10" t="s">
        <v>0</v>
      </c>
      <c r="J25" s="10" t="s">
        <v>0</v>
      </c>
      <c r="K25" s="182" t="s">
        <v>72</v>
      </c>
      <c r="L25" s="184">
        <f>IFERROR(VLOOKUP(K25,選択肢リスト!$B$3:$C$6,2,FALSE),M25)</f>
        <v>0</v>
      </c>
      <c r="M25" s="24">
        <v>0</v>
      </c>
      <c r="N25" s="24"/>
      <c r="O25" s="24"/>
      <c r="P25" s="203">
        <v>1</v>
      </c>
      <c r="Q25" s="204"/>
      <c r="R25" s="149" t="str">
        <f t="shared" si="4"/>
        <v>〇</v>
      </c>
      <c r="S25" s="24"/>
      <c r="T25" s="24"/>
      <c r="U25" s="24"/>
      <c r="V25" s="24"/>
      <c r="W25" s="24"/>
      <c r="X25" s="24">
        <f t="shared" ref="X25" si="69">$L25*N25</f>
        <v>0</v>
      </c>
      <c r="Y25" s="24">
        <f t="shared" ref="Y25" si="70">$L25*O25</f>
        <v>0</v>
      </c>
      <c r="Z25" s="184">
        <f t="shared" ref="Z25" si="71">$L25*P25</f>
        <v>0</v>
      </c>
      <c r="AA25" s="184">
        <f t="shared" ref="AA25" si="72">$L25*Q25</f>
        <v>0</v>
      </c>
      <c r="AB25" s="24">
        <f t="shared" ref="AB25" si="73">$L25*S25</f>
        <v>0</v>
      </c>
      <c r="AC25" s="24">
        <f t="shared" ref="AC25" si="74">$L25*T25</f>
        <v>0</v>
      </c>
      <c r="AD25" s="24">
        <f t="shared" ref="AD25" si="75">$L25*U25</f>
        <v>0</v>
      </c>
      <c r="AE25" s="24">
        <f t="shared" ref="AE25" si="76">$L25*V25</f>
        <v>0</v>
      </c>
      <c r="AF25" s="24"/>
      <c r="AG25" s="24"/>
      <c r="AH25" s="184">
        <f t="shared" si="47"/>
        <v>2</v>
      </c>
      <c r="AI25" s="184">
        <f t="shared" si="48"/>
        <v>0</v>
      </c>
      <c r="AJ25" s="24">
        <f t="shared" si="35"/>
        <v>0</v>
      </c>
      <c r="AK25" s="24">
        <f t="shared" si="36"/>
        <v>0</v>
      </c>
      <c r="AL25" s="24">
        <f t="shared" si="37"/>
        <v>0</v>
      </c>
      <c r="AM25" s="24">
        <f t="shared" si="38"/>
        <v>0</v>
      </c>
      <c r="AN25" s="24"/>
      <c r="AO25" s="24"/>
      <c r="AP25" s="183">
        <f t="shared" si="57"/>
        <v>0</v>
      </c>
      <c r="AQ25" s="183">
        <f t="shared" si="58"/>
        <v>0</v>
      </c>
      <c r="AR25" s="24"/>
      <c r="AS25" s="24"/>
      <c r="AT25" s="24"/>
      <c r="AU25" s="24"/>
    </row>
    <row r="26" spans="1:48" x14ac:dyDescent="0.4">
      <c r="A26" s="7" t="s">
        <v>558</v>
      </c>
      <c r="B26" s="10" t="s">
        <v>532</v>
      </c>
      <c r="C26" s="26" t="s">
        <v>65</v>
      </c>
      <c r="D26" s="10"/>
      <c r="E26" s="193" t="s">
        <v>67</v>
      </c>
      <c r="F26" s="10" t="s">
        <v>0</v>
      </c>
      <c r="G26" s="10" t="s">
        <v>0</v>
      </c>
      <c r="H26" s="10" t="s">
        <v>0</v>
      </c>
      <c r="I26" s="10" t="s">
        <v>0</v>
      </c>
      <c r="J26" s="10" t="s">
        <v>0</v>
      </c>
      <c r="K26" s="182" t="s">
        <v>72</v>
      </c>
      <c r="L26" s="184">
        <f>IFERROR(VLOOKUP(K26,選択肢リスト!$B$3:$C$6,2,FALSE),M26)</f>
        <v>0</v>
      </c>
      <c r="M26" s="24">
        <v>0</v>
      </c>
      <c r="N26" s="24"/>
      <c r="O26" s="24"/>
      <c r="P26" s="203">
        <v>1</v>
      </c>
      <c r="Q26" s="204"/>
      <c r="R26" s="149" t="str">
        <f t="shared" si="4"/>
        <v>〇</v>
      </c>
      <c r="S26" s="24"/>
      <c r="T26" s="24"/>
      <c r="U26" s="24"/>
      <c r="V26" s="24"/>
      <c r="W26" s="24"/>
      <c r="X26" s="24">
        <f t="shared" si="27"/>
        <v>0</v>
      </c>
      <c r="Y26" s="24">
        <f t="shared" si="28"/>
        <v>0</v>
      </c>
      <c r="Z26" s="184">
        <f t="shared" si="29"/>
        <v>0</v>
      </c>
      <c r="AA26" s="184">
        <f t="shared" si="30"/>
        <v>0</v>
      </c>
      <c r="AB26" s="24">
        <f t="shared" si="31"/>
        <v>0</v>
      </c>
      <c r="AC26" s="24">
        <f t="shared" si="32"/>
        <v>0</v>
      </c>
      <c r="AD26" s="24">
        <f t="shared" si="33"/>
        <v>0</v>
      </c>
      <c r="AE26" s="24">
        <f t="shared" si="34"/>
        <v>0</v>
      </c>
      <c r="AF26" s="24"/>
      <c r="AG26" s="24"/>
      <c r="AH26" s="184">
        <f t="shared" si="47"/>
        <v>2</v>
      </c>
      <c r="AI26" s="184">
        <f t="shared" si="48"/>
        <v>0</v>
      </c>
      <c r="AJ26" s="24">
        <f t="shared" si="35"/>
        <v>0</v>
      </c>
      <c r="AK26" s="24">
        <f t="shared" si="36"/>
        <v>0</v>
      </c>
      <c r="AL26" s="24">
        <f t="shared" si="37"/>
        <v>0</v>
      </c>
      <c r="AM26" s="24">
        <f t="shared" si="38"/>
        <v>0</v>
      </c>
      <c r="AN26" s="24"/>
      <c r="AO26" s="24"/>
      <c r="AP26" s="183">
        <f t="shared" si="57"/>
        <v>0</v>
      </c>
      <c r="AQ26" s="183">
        <f t="shared" si="58"/>
        <v>0</v>
      </c>
      <c r="AR26" s="24"/>
      <c r="AS26" s="24"/>
      <c r="AT26" s="24"/>
      <c r="AU26" s="24"/>
    </row>
    <row r="27" spans="1:48" x14ac:dyDescent="0.4">
      <c r="A27" s="7" t="s">
        <v>558</v>
      </c>
      <c r="B27" s="207" t="s">
        <v>533</v>
      </c>
      <c r="C27" s="29" t="s">
        <v>66</v>
      </c>
      <c r="D27" s="10"/>
      <c r="E27" s="197" t="s">
        <v>112</v>
      </c>
      <c r="F27" s="10" t="s">
        <v>0</v>
      </c>
      <c r="G27" s="10"/>
      <c r="H27" s="10" t="s">
        <v>0</v>
      </c>
      <c r="I27" s="10" t="s">
        <v>0</v>
      </c>
      <c r="J27" s="10" t="s">
        <v>0</v>
      </c>
      <c r="K27" s="27" t="s">
        <v>89</v>
      </c>
      <c r="L27" s="28">
        <f>IFERROR(VLOOKUP(K27,選択肢リスト!$F$3:$G$7,2,FALSE),M27)</f>
        <v>-1</v>
      </c>
      <c r="M27" s="24">
        <v>0</v>
      </c>
      <c r="N27" s="24"/>
      <c r="O27" s="24"/>
      <c r="P27" s="204"/>
      <c r="Q27" s="205">
        <v>1</v>
      </c>
      <c r="R27" s="149" t="str">
        <f t="shared" si="4"/>
        <v>〇</v>
      </c>
      <c r="S27" s="24"/>
      <c r="T27" s="24"/>
      <c r="U27" s="24"/>
      <c r="V27" s="24"/>
      <c r="W27" s="24"/>
      <c r="X27" s="24">
        <f t="shared" ref="X27:X35" si="77">$L27*N27</f>
        <v>0</v>
      </c>
      <c r="Y27" s="24">
        <f t="shared" ref="Y27:Y35" si="78">$L27*O27</f>
        <v>0</v>
      </c>
      <c r="Z27" s="28">
        <f t="shared" ref="Z27:Z35" si="79">$L27*P27</f>
        <v>0</v>
      </c>
      <c r="AA27" s="28">
        <f t="shared" ref="AA27:AA35" si="80">$L27*Q27</f>
        <v>-1</v>
      </c>
      <c r="AB27" s="24">
        <f t="shared" ref="AB27:AB35" si="81">$L27*S27</f>
        <v>0</v>
      </c>
      <c r="AC27" s="24">
        <f t="shared" ref="AC27:AC35" si="82">$L27*T27</f>
        <v>0</v>
      </c>
      <c r="AD27" s="24">
        <f t="shared" ref="AD27:AD35" si="83">$L27*U27</f>
        <v>0</v>
      </c>
      <c r="AE27" s="24">
        <f t="shared" ref="AE27:AE35" si="84">$L27*V27</f>
        <v>0</v>
      </c>
      <c r="AF27" s="24"/>
      <c r="AG27" s="24"/>
      <c r="AH27" s="28">
        <f>IF(K27="□不要、対象外",0,IF(C27="リスク確認",2*P27,IF(C27="対策確認",1*P27,"ERROR")))</f>
        <v>0</v>
      </c>
      <c r="AI27" s="28">
        <f>IF(K27="□不要、対象外",0,IF(C27="リスク確認",2*Q27,IF(C27="対策確認",1*Q27,"ERROR")))</f>
        <v>1</v>
      </c>
      <c r="AJ27" s="24">
        <f t="shared" si="35"/>
        <v>0</v>
      </c>
      <c r="AK27" s="24">
        <f t="shared" si="36"/>
        <v>0</v>
      </c>
      <c r="AL27" s="24">
        <f t="shared" si="37"/>
        <v>0</v>
      </c>
      <c r="AM27" s="24">
        <f t="shared" si="38"/>
        <v>0</v>
      </c>
      <c r="AN27" s="24"/>
      <c r="AO27" s="24"/>
      <c r="AP27" s="28">
        <f>IF(K27="□不要、対象外",0,IF(C27="リスク確認",0*P27,IF(C27="対策確認",-1*P27,"ERROR")))</f>
        <v>0</v>
      </c>
      <c r="AQ27" s="28">
        <f>IF(K27="□不要、対象外",0,IF(C27="リスク確認",0*Q27,IF(C27="対策確認",-1*Q27,"ERROR")))</f>
        <v>-1</v>
      </c>
      <c r="AR27" s="24"/>
      <c r="AS27" s="24"/>
      <c r="AT27" s="24"/>
      <c r="AU27" s="24"/>
      <c r="AV27" s="186" t="s">
        <v>600</v>
      </c>
    </row>
    <row r="28" spans="1:48" x14ac:dyDescent="0.4">
      <c r="A28" s="7" t="s">
        <v>558</v>
      </c>
      <c r="B28" s="207" t="s">
        <v>448</v>
      </c>
      <c r="C28" s="29" t="s">
        <v>66</v>
      </c>
      <c r="D28" s="10"/>
      <c r="E28" s="197" t="s">
        <v>113</v>
      </c>
      <c r="F28" s="10" t="s">
        <v>0</v>
      </c>
      <c r="G28" s="10"/>
      <c r="H28" s="10" t="s">
        <v>0</v>
      </c>
      <c r="I28" s="10" t="s">
        <v>0</v>
      </c>
      <c r="J28" s="10" t="s">
        <v>0</v>
      </c>
      <c r="K28" s="27" t="s">
        <v>89</v>
      </c>
      <c r="L28" s="28">
        <f>IFERROR(VLOOKUP(K28,選択肢リスト!$F$3:$G$7,2,FALSE),M28)</f>
        <v>-1</v>
      </c>
      <c r="M28" s="24">
        <v>0</v>
      </c>
      <c r="N28" s="24"/>
      <c r="O28" s="24"/>
      <c r="P28" s="204"/>
      <c r="Q28" s="205">
        <v>1</v>
      </c>
      <c r="R28" s="149" t="str">
        <f t="shared" si="4"/>
        <v>〇</v>
      </c>
      <c r="S28" s="24"/>
      <c r="T28" s="24"/>
      <c r="U28" s="24"/>
      <c r="V28" s="24"/>
      <c r="W28" s="24"/>
      <c r="X28" s="24">
        <f t="shared" si="77"/>
        <v>0</v>
      </c>
      <c r="Y28" s="24">
        <f t="shared" si="78"/>
        <v>0</v>
      </c>
      <c r="Z28" s="28">
        <f t="shared" si="79"/>
        <v>0</v>
      </c>
      <c r="AA28" s="28">
        <f t="shared" si="80"/>
        <v>-1</v>
      </c>
      <c r="AB28" s="24">
        <f t="shared" si="81"/>
        <v>0</v>
      </c>
      <c r="AC28" s="24">
        <f t="shared" si="82"/>
        <v>0</v>
      </c>
      <c r="AD28" s="24">
        <f t="shared" si="83"/>
        <v>0</v>
      </c>
      <c r="AE28" s="24">
        <f t="shared" si="84"/>
        <v>0</v>
      </c>
      <c r="AF28" s="24"/>
      <c r="AG28" s="24"/>
      <c r="AH28" s="28">
        <f>IF(K28="□不要、対象外",0,IF(C28="リスク確認",2*P28,IF(C28="対策確認",1*P28,"ERROR")))</f>
        <v>0</v>
      </c>
      <c r="AI28" s="28">
        <f>IF(K28="□不要、対象外",0,IF(C28="リスク確認",2*Q28,IF(C28="対策確認",1*Q28,"ERROR")))</f>
        <v>1</v>
      </c>
      <c r="AJ28" s="24">
        <f t="shared" si="35"/>
        <v>0</v>
      </c>
      <c r="AK28" s="24">
        <f t="shared" si="36"/>
        <v>0</v>
      </c>
      <c r="AL28" s="24">
        <f t="shared" si="37"/>
        <v>0</v>
      </c>
      <c r="AM28" s="24">
        <f t="shared" si="38"/>
        <v>0</v>
      </c>
      <c r="AN28" s="24"/>
      <c r="AO28" s="24"/>
      <c r="AP28" s="28">
        <f>IF(K28="□不要、対象外",0,IF(C28="リスク確認",0*P28,IF(C28="対策確認",-1*P28,"ERROR")))</f>
        <v>0</v>
      </c>
      <c r="AQ28" s="28">
        <f>IF(K28="□不要、対象外",0,IF(C28="リスク確認",0*Q28,IF(C28="対策確認",-1*Q28,"ERROR")))</f>
        <v>-1</v>
      </c>
      <c r="AR28" s="24"/>
      <c r="AS28" s="24"/>
      <c r="AT28" s="24"/>
      <c r="AU28" s="24"/>
    </row>
    <row r="29" spans="1:48" x14ac:dyDescent="0.4">
      <c r="A29" s="7" t="s">
        <v>558</v>
      </c>
      <c r="B29" s="10" t="s">
        <v>534</v>
      </c>
      <c r="C29" s="26" t="s">
        <v>65</v>
      </c>
      <c r="D29" s="10"/>
      <c r="E29" s="193" t="s">
        <v>68</v>
      </c>
      <c r="F29" s="10" t="s">
        <v>0</v>
      </c>
      <c r="G29" s="10" t="s">
        <v>0</v>
      </c>
      <c r="H29" s="10" t="s">
        <v>0</v>
      </c>
      <c r="I29" s="10" t="s">
        <v>0</v>
      </c>
      <c r="J29" s="10" t="s">
        <v>0</v>
      </c>
      <c r="K29" s="182" t="s">
        <v>70</v>
      </c>
      <c r="L29" s="184">
        <f>IFERROR(VLOOKUP(K29,選択肢リスト!$B$3:$C$6,2,FALSE),M29)</f>
        <v>2</v>
      </c>
      <c r="M29" s="24">
        <v>0</v>
      </c>
      <c r="N29" s="24"/>
      <c r="O29" s="24"/>
      <c r="P29" s="204"/>
      <c r="Q29" s="203">
        <v>1</v>
      </c>
      <c r="R29" s="149" t="str">
        <f t="shared" si="4"/>
        <v>〇</v>
      </c>
      <c r="S29" s="24"/>
      <c r="T29" s="24"/>
      <c r="U29" s="24"/>
      <c r="V29" s="24"/>
      <c r="W29" s="24"/>
      <c r="X29" s="24">
        <f t="shared" si="77"/>
        <v>0</v>
      </c>
      <c r="Y29" s="24">
        <f t="shared" si="78"/>
        <v>0</v>
      </c>
      <c r="Z29" s="184">
        <f t="shared" si="79"/>
        <v>0</v>
      </c>
      <c r="AA29" s="184">
        <f t="shared" si="80"/>
        <v>2</v>
      </c>
      <c r="AB29" s="24">
        <f t="shared" si="81"/>
        <v>0</v>
      </c>
      <c r="AC29" s="24">
        <f t="shared" si="82"/>
        <v>0</v>
      </c>
      <c r="AD29" s="24">
        <f t="shared" si="83"/>
        <v>0</v>
      </c>
      <c r="AE29" s="24">
        <f t="shared" si="84"/>
        <v>0</v>
      </c>
      <c r="AF29" s="24"/>
      <c r="AG29" s="24"/>
      <c r="AH29" s="184">
        <f t="shared" si="47"/>
        <v>0</v>
      </c>
      <c r="AI29" s="184">
        <f t="shared" si="48"/>
        <v>2</v>
      </c>
      <c r="AJ29" s="24">
        <f t="shared" si="35"/>
        <v>0</v>
      </c>
      <c r="AK29" s="24">
        <f t="shared" si="36"/>
        <v>0</v>
      </c>
      <c r="AL29" s="24">
        <f t="shared" si="37"/>
        <v>0</v>
      </c>
      <c r="AM29" s="24">
        <f t="shared" si="38"/>
        <v>0</v>
      </c>
      <c r="AN29" s="24"/>
      <c r="AO29" s="24"/>
      <c r="AP29" s="183">
        <f t="shared" ref="AP29:AP35" si="85">IF(K29="△不明",0,IF(C29="リスク確認",0*P29,IF(C29="対策確認",-1*P29,"ERROR")))</f>
        <v>0</v>
      </c>
      <c r="AQ29" s="183">
        <f t="shared" ref="AQ29:AQ35" si="86">IF(K29="△不明",0,IF(C29="リスク確認",0*Q29,IF(C29="対策確認",-1*Q29,"ERROR")))</f>
        <v>0</v>
      </c>
      <c r="AR29" s="24"/>
      <c r="AS29" s="24"/>
      <c r="AT29" s="24"/>
      <c r="AU29" s="24"/>
      <c r="AV29" s="186" t="s">
        <v>601</v>
      </c>
    </row>
    <row r="30" spans="1:48" x14ac:dyDescent="0.4">
      <c r="A30" s="7" t="s">
        <v>558</v>
      </c>
      <c r="B30" s="10" t="s">
        <v>535</v>
      </c>
      <c r="C30" s="26" t="s">
        <v>65</v>
      </c>
      <c r="D30" s="10"/>
      <c r="E30" s="193" t="s">
        <v>75</v>
      </c>
      <c r="F30" s="10"/>
      <c r="G30" s="10" t="s">
        <v>0</v>
      </c>
      <c r="H30" s="10" t="s">
        <v>0</v>
      </c>
      <c r="I30" s="10" t="s">
        <v>0</v>
      </c>
      <c r="J30" s="10" t="s">
        <v>0</v>
      </c>
      <c r="K30" s="182" t="s">
        <v>70</v>
      </c>
      <c r="L30" s="184">
        <f>IFERROR(VLOOKUP(K30,選択肢リスト!$B$3:$C$6,2,FALSE),M30)</f>
        <v>2</v>
      </c>
      <c r="M30" s="24">
        <v>0</v>
      </c>
      <c r="N30" s="24"/>
      <c r="O30" s="24"/>
      <c r="P30" s="204"/>
      <c r="Q30" s="203">
        <v>1</v>
      </c>
      <c r="R30" s="149" t="str">
        <f t="shared" si="4"/>
        <v>〇</v>
      </c>
      <c r="S30" s="24"/>
      <c r="T30" s="24"/>
      <c r="U30" s="24"/>
      <c r="V30" s="24"/>
      <c r="W30" s="24"/>
      <c r="X30" s="24">
        <f t="shared" si="77"/>
        <v>0</v>
      </c>
      <c r="Y30" s="24">
        <f t="shared" si="78"/>
        <v>0</v>
      </c>
      <c r="Z30" s="184">
        <f t="shared" si="79"/>
        <v>0</v>
      </c>
      <c r="AA30" s="184">
        <f t="shared" si="80"/>
        <v>2</v>
      </c>
      <c r="AB30" s="24">
        <f t="shared" si="81"/>
        <v>0</v>
      </c>
      <c r="AC30" s="24">
        <f t="shared" si="82"/>
        <v>0</v>
      </c>
      <c r="AD30" s="24">
        <f t="shared" si="83"/>
        <v>0</v>
      </c>
      <c r="AE30" s="24">
        <f t="shared" si="84"/>
        <v>0</v>
      </c>
      <c r="AF30" s="24"/>
      <c r="AG30" s="24"/>
      <c r="AH30" s="184">
        <f t="shared" si="47"/>
        <v>0</v>
      </c>
      <c r="AI30" s="184">
        <f t="shared" si="48"/>
        <v>2</v>
      </c>
      <c r="AJ30" s="24">
        <f t="shared" si="35"/>
        <v>0</v>
      </c>
      <c r="AK30" s="24">
        <f t="shared" si="36"/>
        <v>0</v>
      </c>
      <c r="AL30" s="24">
        <f t="shared" si="37"/>
        <v>0</v>
      </c>
      <c r="AM30" s="24">
        <f t="shared" si="38"/>
        <v>0</v>
      </c>
      <c r="AN30" s="24"/>
      <c r="AO30" s="24"/>
      <c r="AP30" s="183">
        <f t="shared" si="85"/>
        <v>0</v>
      </c>
      <c r="AQ30" s="183">
        <f t="shared" si="86"/>
        <v>0</v>
      </c>
      <c r="AR30" s="24"/>
      <c r="AS30" s="24"/>
      <c r="AT30" s="24"/>
      <c r="AU30" s="24"/>
    </row>
    <row r="31" spans="1:48" x14ac:dyDescent="0.4">
      <c r="A31" s="7" t="s">
        <v>558</v>
      </c>
      <c r="B31" s="10" t="s">
        <v>536</v>
      </c>
      <c r="C31" s="26" t="s">
        <v>65</v>
      </c>
      <c r="D31" s="10"/>
      <c r="E31" s="193" t="s">
        <v>76</v>
      </c>
      <c r="F31" s="10"/>
      <c r="G31" s="10" t="s">
        <v>0</v>
      </c>
      <c r="H31" s="10" t="s">
        <v>0</v>
      </c>
      <c r="I31" s="10" t="s">
        <v>0</v>
      </c>
      <c r="J31" s="10" t="s">
        <v>0</v>
      </c>
      <c r="K31" s="182" t="s">
        <v>70</v>
      </c>
      <c r="L31" s="184">
        <f>IFERROR(VLOOKUP(K31,選択肢リスト!$B$3:$C$6,2,FALSE),M31)</f>
        <v>2</v>
      </c>
      <c r="M31" s="24">
        <v>0</v>
      </c>
      <c r="N31" s="24"/>
      <c r="O31" s="24"/>
      <c r="P31" s="204"/>
      <c r="Q31" s="203">
        <v>2</v>
      </c>
      <c r="R31" s="149" t="str">
        <f t="shared" si="4"/>
        <v>〇</v>
      </c>
      <c r="S31" s="24"/>
      <c r="T31" s="24"/>
      <c r="U31" s="24"/>
      <c r="V31" s="24"/>
      <c r="W31" s="24"/>
      <c r="X31" s="24">
        <f t="shared" si="77"/>
        <v>0</v>
      </c>
      <c r="Y31" s="24">
        <f t="shared" si="78"/>
        <v>0</v>
      </c>
      <c r="Z31" s="184">
        <f t="shared" si="79"/>
        <v>0</v>
      </c>
      <c r="AA31" s="184">
        <f t="shared" si="80"/>
        <v>4</v>
      </c>
      <c r="AB31" s="24">
        <f t="shared" si="81"/>
        <v>0</v>
      </c>
      <c r="AC31" s="24">
        <f t="shared" si="82"/>
        <v>0</v>
      </c>
      <c r="AD31" s="24">
        <f t="shared" si="83"/>
        <v>0</v>
      </c>
      <c r="AE31" s="24">
        <f t="shared" si="84"/>
        <v>0</v>
      </c>
      <c r="AF31" s="24"/>
      <c r="AG31" s="24"/>
      <c r="AH31" s="184">
        <f t="shared" si="47"/>
        <v>0</v>
      </c>
      <c r="AI31" s="184">
        <f t="shared" si="48"/>
        <v>4</v>
      </c>
      <c r="AJ31" s="24">
        <f t="shared" si="35"/>
        <v>0</v>
      </c>
      <c r="AK31" s="24">
        <f t="shared" si="36"/>
        <v>0</v>
      </c>
      <c r="AL31" s="24">
        <f t="shared" si="37"/>
        <v>0</v>
      </c>
      <c r="AM31" s="24">
        <f t="shared" si="38"/>
        <v>0</v>
      </c>
      <c r="AN31" s="24"/>
      <c r="AO31" s="24"/>
      <c r="AP31" s="183">
        <f t="shared" si="85"/>
        <v>0</v>
      </c>
      <c r="AQ31" s="183">
        <f t="shared" si="86"/>
        <v>0</v>
      </c>
      <c r="AR31" s="24"/>
      <c r="AS31" s="24"/>
      <c r="AT31" s="24"/>
      <c r="AU31" s="24"/>
    </row>
    <row r="32" spans="1:48" x14ac:dyDescent="0.4">
      <c r="A32" s="7" t="s">
        <v>558</v>
      </c>
      <c r="B32" s="10" t="s">
        <v>537</v>
      </c>
      <c r="C32" s="26" t="s">
        <v>65</v>
      </c>
      <c r="D32" s="10"/>
      <c r="E32" s="193" t="s">
        <v>83</v>
      </c>
      <c r="F32" s="10"/>
      <c r="G32" s="10" t="s">
        <v>0</v>
      </c>
      <c r="H32" s="10" t="s">
        <v>0</v>
      </c>
      <c r="I32" s="10" t="s">
        <v>0</v>
      </c>
      <c r="J32" s="10" t="s">
        <v>0</v>
      </c>
      <c r="K32" s="182" t="s">
        <v>70</v>
      </c>
      <c r="L32" s="184">
        <f>IFERROR(VLOOKUP(K32,選択肢リスト!$B$3:$C$6,2,FALSE),M32)</f>
        <v>2</v>
      </c>
      <c r="M32" s="24">
        <v>0</v>
      </c>
      <c r="N32" s="24"/>
      <c r="O32" s="24">
        <v>3</v>
      </c>
      <c r="P32" s="204"/>
      <c r="Q32" s="203">
        <v>3</v>
      </c>
      <c r="R32" s="149" t="str">
        <f t="shared" si="4"/>
        <v>〇</v>
      </c>
      <c r="S32" s="24"/>
      <c r="T32" s="24"/>
      <c r="U32" s="24"/>
      <c r="V32" s="24"/>
      <c r="W32" s="24"/>
      <c r="X32" s="24">
        <f t="shared" ref="X32" si="87">$L32*N32</f>
        <v>0</v>
      </c>
      <c r="Y32" s="24">
        <f t="shared" ref="Y32" si="88">$L32*O32</f>
        <v>6</v>
      </c>
      <c r="Z32" s="184">
        <f t="shared" ref="Z32" si="89">$L32*P32</f>
        <v>0</v>
      </c>
      <c r="AA32" s="184">
        <f t="shared" ref="AA32" si="90">$L32*Q32</f>
        <v>6</v>
      </c>
      <c r="AB32" s="24">
        <f t="shared" ref="AB32" si="91">$L32*S32</f>
        <v>0</v>
      </c>
      <c r="AC32" s="24">
        <f t="shared" ref="AC32" si="92">$L32*T32</f>
        <v>0</v>
      </c>
      <c r="AD32" s="24">
        <f t="shared" ref="AD32" si="93">$L32*U32</f>
        <v>0</v>
      </c>
      <c r="AE32" s="24">
        <f t="shared" ref="AE32" si="94">$L32*V32</f>
        <v>0</v>
      </c>
      <c r="AF32" s="24"/>
      <c r="AG32" s="24"/>
      <c r="AH32" s="184">
        <f t="shared" si="47"/>
        <v>0</v>
      </c>
      <c r="AI32" s="184">
        <f t="shared" si="48"/>
        <v>6</v>
      </c>
      <c r="AJ32" s="24">
        <f t="shared" si="35"/>
        <v>0</v>
      </c>
      <c r="AK32" s="24">
        <f t="shared" si="36"/>
        <v>0</v>
      </c>
      <c r="AL32" s="24">
        <f t="shared" si="37"/>
        <v>0</v>
      </c>
      <c r="AM32" s="24">
        <f t="shared" si="38"/>
        <v>0</v>
      </c>
      <c r="AN32" s="24"/>
      <c r="AO32" s="24"/>
      <c r="AP32" s="183">
        <f t="shared" si="85"/>
        <v>0</v>
      </c>
      <c r="AQ32" s="183">
        <f t="shared" si="86"/>
        <v>0</v>
      </c>
      <c r="AR32" s="24"/>
      <c r="AS32" s="24"/>
      <c r="AT32" s="24"/>
      <c r="AU32" s="24"/>
      <c r="AV32" s="186" t="s">
        <v>602</v>
      </c>
    </row>
    <row r="33" spans="1:48" x14ac:dyDescent="0.4">
      <c r="A33" s="7" t="s">
        <v>558</v>
      </c>
      <c r="B33" s="10" t="s">
        <v>538</v>
      </c>
      <c r="C33" s="26" t="s">
        <v>65</v>
      </c>
      <c r="D33" s="10"/>
      <c r="E33" s="193" t="s">
        <v>84</v>
      </c>
      <c r="F33" s="10"/>
      <c r="G33" s="10" t="s">
        <v>0</v>
      </c>
      <c r="H33" s="10" t="s">
        <v>0</v>
      </c>
      <c r="I33" s="10" t="s">
        <v>0</v>
      </c>
      <c r="J33" s="10" t="s">
        <v>0</v>
      </c>
      <c r="K33" s="182" t="s">
        <v>72</v>
      </c>
      <c r="L33" s="184">
        <f>IFERROR(VLOOKUP(K33,選択肢リスト!$B$3:$C$6,2,FALSE),M33)</f>
        <v>0</v>
      </c>
      <c r="M33" s="24">
        <v>0</v>
      </c>
      <c r="N33" s="24"/>
      <c r="O33" s="24">
        <v>2</v>
      </c>
      <c r="P33" s="204"/>
      <c r="Q33" s="203">
        <v>2</v>
      </c>
      <c r="R33" s="149" t="str">
        <f t="shared" si="4"/>
        <v>〇</v>
      </c>
      <c r="S33" s="24"/>
      <c r="T33" s="24"/>
      <c r="U33" s="24"/>
      <c r="V33" s="24"/>
      <c r="W33" s="24"/>
      <c r="X33" s="24">
        <f t="shared" si="77"/>
        <v>0</v>
      </c>
      <c r="Y33" s="24">
        <f t="shared" si="78"/>
        <v>0</v>
      </c>
      <c r="Z33" s="184">
        <f t="shared" si="79"/>
        <v>0</v>
      </c>
      <c r="AA33" s="184">
        <f t="shared" si="80"/>
        <v>0</v>
      </c>
      <c r="AB33" s="24">
        <f t="shared" si="81"/>
        <v>0</v>
      </c>
      <c r="AC33" s="24">
        <f t="shared" si="82"/>
        <v>0</v>
      </c>
      <c r="AD33" s="24">
        <f t="shared" si="83"/>
        <v>0</v>
      </c>
      <c r="AE33" s="24">
        <f t="shared" si="84"/>
        <v>0</v>
      </c>
      <c r="AF33" s="24"/>
      <c r="AG33" s="24"/>
      <c r="AH33" s="184">
        <f t="shared" si="47"/>
        <v>0</v>
      </c>
      <c r="AI33" s="184">
        <f t="shared" si="48"/>
        <v>4</v>
      </c>
      <c r="AJ33" s="24">
        <f t="shared" si="35"/>
        <v>0</v>
      </c>
      <c r="AK33" s="24">
        <f t="shared" si="36"/>
        <v>0</v>
      </c>
      <c r="AL33" s="24">
        <f t="shared" si="37"/>
        <v>0</v>
      </c>
      <c r="AM33" s="24">
        <f t="shared" si="38"/>
        <v>0</v>
      </c>
      <c r="AN33" s="24"/>
      <c r="AO33" s="24"/>
      <c r="AP33" s="183">
        <f t="shared" si="85"/>
        <v>0</v>
      </c>
      <c r="AQ33" s="183">
        <f t="shared" si="86"/>
        <v>0</v>
      </c>
      <c r="AR33" s="24"/>
      <c r="AS33" s="24"/>
      <c r="AT33" s="24"/>
      <c r="AU33" s="24"/>
      <c r="AV33" s="186" t="s">
        <v>603</v>
      </c>
    </row>
    <row r="34" spans="1:48" ht="37.5" x14ac:dyDescent="0.4">
      <c r="A34" s="7" t="s">
        <v>558</v>
      </c>
      <c r="B34" s="207" t="s">
        <v>539</v>
      </c>
      <c r="C34" s="26" t="s">
        <v>65</v>
      </c>
      <c r="D34" s="10"/>
      <c r="E34" s="193" t="s">
        <v>495</v>
      </c>
      <c r="F34" s="10" t="s">
        <v>0</v>
      </c>
      <c r="G34" s="10" t="s">
        <v>0</v>
      </c>
      <c r="H34" s="10" t="s">
        <v>0</v>
      </c>
      <c r="I34" s="10" t="s">
        <v>0</v>
      </c>
      <c r="J34" s="10" t="s">
        <v>0</v>
      </c>
      <c r="K34" s="182" t="s">
        <v>72</v>
      </c>
      <c r="L34" s="184">
        <f>IFERROR(VLOOKUP(K34,選択肢リスト!$B$3:$C$6,2,FALSE),M34)</f>
        <v>0</v>
      </c>
      <c r="M34" s="24">
        <v>0</v>
      </c>
      <c r="N34" s="24"/>
      <c r="O34" s="24">
        <v>1</v>
      </c>
      <c r="P34" s="204"/>
      <c r="Q34" s="203">
        <v>1</v>
      </c>
      <c r="R34" s="149" t="str">
        <f t="shared" si="4"/>
        <v>〇</v>
      </c>
      <c r="S34" s="24"/>
      <c r="T34" s="24"/>
      <c r="U34" s="24"/>
      <c r="V34" s="24"/>
      <c r="W34" s="24"/>
      <c r="X34" s="24">
        <f t="shared" si="77"/>
        <v>0</v>
      </c>
      <c r="Y34" s="24">
        <f t="shared" si="78"/>
        <v>0</v>
      </c>
      <c r="Z34" s="184">
        <f t="shared" si="79"/>
        <v>0</v>
      </c>
      <c r="AA34" s="184">
        <f t="shared" si="80"/>
        <v>0</v>
      </c>
      <c r="AB34" s="24">
        <f t="shared" si="81"/>
        <v>0</v>
      </c>
      <c r="AC34" s="24">
        <f t="shared" si="82"/>
        <v>0</v>
      </c>
      <c r="AD34" s="24">
        <f t="shared" si="83"/>
        <v>0</v>
      </c>
      <c r="AE34" s="24">
        <f t="shared" si="84"/>
        <v>0</v>
      </c>
      <c r="AF34" s="24"/>
      <c r="AG34" s="24"/>
      <c r="AH34" s="184">
        <f t="shared" si="47"/>
        <v>0</v>
      </c>
      <c r="AI34" s="184">
        <f t="shared" si="48"/>
        <v>2</v>
      </c>
      <c r="AJ34" s="24">
        <f t="shared" si="35"/>
        <v>0</v>
      </c>
      <c r="AK34" s="24">
        <f t="shared" si="36"/>
        <v>0</v>
      </c>
      <c r="AL34" s="24">
        <f t="shared" si="37"/>
        <v>0</v>
      </c>
      <c r="AM34" s="24">
        <f t="shared" si="38"/>
        <v>0</v>
      </c>
      <c r="AN34" s="24"/>
      <c r="AO34" s="24"/>
      <c r="AP34" s="183">
        <f t="shared" si="85"/>
        <v>0</v>
      </c>
      <c r="AQ34" s="183">
        <f t="shared" si="86"/>
        <v>0</v>
      </c>
      <c r="AR34" s="24"/>
      <c r="AS34" s="24"/>
      <c r="AT34" s="24"/>
      <c r="AU34" s="24"/>
    </row>
    <row r="35" spans="1:48" ht="56.25" x14ac:dyDescent="0.4">
      <c r="A35" s="7" t="s">
        <v>558</v>
      </c>
      <c r="B35" s="207" t="s">
        <v>540</v>
      </c>
      <c r="C35" s="26" t="s">
        <v>65</v>
      </c>
      <c r="D35" s="10"/>
      <c r="E35" s="193" t="s">
        <v>482</v>
      </c>
      <c r="F35" s="10" t="s">
        <v>0</v>
      </c>
      <c r="G35" s="10" t="s">
        <v>0</v>
      </c>
      <c r="H35" s="10" t="s">
        <v>0</v>
      </c>
      <c r="I35" s="10" t="s">
        <v>0</v>
      </c>
      <c r="J35" s="10" t="s">
        <v>0</v>
      </c>
      <c r="K35" s="182" t="s">
        <v>72</v>
      </c>
      <c r="L35" s="184">
        <f>IFERROR(VLOOKUP(K35,選択肢リスト!$B$3:$C$6,2,FALSE),M35)</f>
        <v>0</v>
      </c>
      <c r="M35" s="24">
        <v>0</v>
      </c>
      <c r="N35" s="24"/>
      <c r="O35" s="24">
        <v>1</v>
      </c>
      <c r="P35" s="204"/>
      <c r="Q35" s="203">
        <v>1</v>
      </c>
      <c r="R35" s="149" t="str">
        <f t="shared" si="4"/>
        <v>〇</v>
      </c>
      <c r="S35" s="24"/>
      <c r="T35" s="24"/>
      <c r="U35" s="24"/>
      <c r="V35" s="24"/>
      <c r="W35" s="24"/>
      <c r="X35" s="24">
        <f t="shared" si="77"/>
        <v>0</v>
      </c>
      <c r="Y35" s="24">
        <f t="shared" si="78"/>
        <v>0</v>
      </c>
      <c r="Z35" s="184">
        <f t="shared" si="79"/>
        <v>0</v>
      </c>
      <c r="AA35" s="184">
        <f t="shared" si="80"/>
        <v>0</v>
      </c>
      <c r="AB35" s="24">
        <f t="shared" si="81"/>
        <v>0</v>
      </c>
      <c r="AC35" s="24">
        <f t="shared" si="82"/>
        <v>0</v>
      </c>
      <c r="AD35" s="24">
        <f t="shared" si="83"/>
        <v>0</v>
      </c>
      <c r="AE35" s="24">
        <f t="shared" si="84"/>
        <v>0</v>
      </c>
      <c r="AF35" s="24"/>
      <c r="AG35" s="24"/>
      <c r="AH35" s="184">
        <f t="shared" si="47"/>
        <v>0</v>
      </c>
      <c r="AI35" s="184">
        <f t="shared" si="48"/>
        <v>2</v>
      </c>
      <c r="AJ35" s="24">
        <f t="shared" si="35"/>
        <v>0</v>
      </c>
      <c r="AK35" s="24">
        <f t="shared" si="36"/>
        <v>0</v>
      </c>
      <c r="AL35" s="24">
        <f t="shared" si="37"/>
        <v>0</v>
      </c>
      <c r="AM35" s="24">
        <f t="shared" si="38"/>
        <v>0</v>
      </c>
      <c r="AN35" s="24"/>
      <c r="AO35" s="24"/>
      <c r="AP35" s="183">
        <f t="shared" si="85"/>
        <v>0</v>
      </c>
      <c r="AQ35" s="183">
        <f t="shared" si="86"/>
        <v>0</v>
      </c>
      <c r="AR35" s="24"/>
      <c r="AS35" s="24"/>
      <c r="AT35" s="24"/>
      <c r="AU35" s="24"/>
    </row>
    <row r="36" spans="1:48" x14ac:dyDescent="0.4">
      <c r="A36" s="7" t="s">
        <v>558</v>
      </c>
      <c r="B36" s="207" t="s">
        <v>541</v>
      </c>
      <c r="C36" s="29" t="s">
        <v>66</v>
      </c>
      <c r="D36" s="10"/>
      <c r="E36" s="197" t="s">
        <v>483</v>
      </c>
      <c r="F36" s="10" t="s">
        <v>0</v>
      </c>
      <c r="G36" s="10" t="s">
        <v>0</v>
      </c>
      <c r="H36" s="10" t="s">
        <v>0</v>
      </c>
      <c r="I36" s="10" t="s">
        <v>0</v>
      </c>
      <c r="J36" s="10" t="s">
        <v>0</v>
      </c>
      <c r="K36" s="27" t="s">
        <v>91</v>
      </c>
      <c r="L36" s="28">
        <f>IFERROR(VLOOKUP(K36,選択肢リスト!$F$3:$G$7,2,FALSE),M36)</f>
        <v>1</v>
      </c>
      <c r="M36" s="24">
        <v>0</v>
      </c>
      <c r="N36" s="24"/>
      <c r="O36" s="24">
        <v>1</v>
      </c>
      <c r="P36" s="204"/>
      <c r="Q36" s="205">
        <v>2</v>
      </c>
      <c r="R36" s="149" t="str">
        <f t="shared" si="4"/>
        <v>〇</v>
      </c>
      <c r="S36" s="24"/>
      <c r="T36" s="24"/>
      <c r="U36" s="24"/>
      <c r="V36" s="24"/>
      <c r="W36" s="24"/>
      <c r="X36" s="24">
        <f t="shared" ref="X36:X45" si="95">$L36*N36</f>
        <v>0</v>
      </c>
      <c r="Y36" s="24">
        <f t="shared" ref="Y36:Y45" si="96">$L36*O36</f>
        <v>1</v>
      </c>
      <c r="Z36" s="28">
        <f t="shared" ref="Z36:Z45" si="97">$L36*P36</f>
        <v>0</v>
      </c>
      <c r="AA36" s="28">
        <f t="shared" ref="AA36:AA45" si="98">$L36*Q36</f>
        <v>2</v>
      </c>
      <c r="AB36" s="24">
        <f t="shared" ref="AB36:AB45" si="99">$L36*S36</f>
        <v>0</v>
      </c>
      <c r="AC36" s="24">
        <f t="shared" ref="AC36:AC45" si="100">$L36*T36</f>
        <v>0</v>
      </c>
      <c r="AD36" s="24">
        <f t="shared" ref="AD36:AD45" si="101">$L36*U36</f>
        <v>0</v>
      </c>
      <c r="AE36" s="24">
        <f t="shared" ref="AE36:AE45" si="102">$L36*V36</f>
        <v>0</v>
      </c>
      <c r="AF36" s="24"/>
      <c r="AG36" s="24"/>
      <c r="AH36" s="28">
        <f>IF(K36="□不要、対象外",0,IF(C36="リスク確認",2*P36,IF(C36="対策確認",1*P36,"ERROR")))</f>
        <v>0</v>
      </c>
      <c r="AI36" s="28">
        <f>IF(K36="□不要、対象外",0,IF(C36="リスク確認",2*Q36,IF(C36="対策確認",1*Q36,"ERROR")))</f>
        <v>2</v>
      </c>
      <c r="AJ36" s="24">
        <f t="shared" si="35"/>
        <v>0</v>
      </c>
      <c r="AK36" s="24">
        <f t="shared" si="36"/>
        <v>0</v>
      </c>
      <c r="AL36" s="24">
        <f t="shared" si="37"/>
        <v>0</v>
      </c>
      <c r="AM36" s="24">
        <f t="shared" si="38"/>
        <v>0</v>
      </c>
      <c r="AN36" s="24"/>
      <c r="AO36" s="24"/>
      <c r="AP36" s="28">
        <f>IF(K36="□不要、対象外",0,IF(C36="リスク確認",0*P36,IF(C36="対策確認",-1*P36,"ERROR")))</f>
        <v>0</v>
      </c>
      <c r="AQ36" s="28">
        <f>IF(K36="□不要、対象外",0,IF(C36="リスク確認",0*Q36,IF(C36="対策確認",-1*Q36,"ERROR")))</f>
        <v>-2</v>
      </c>
      <c r="AR36" s="24"/>
      <c r="AS36" s="24"/>
      <c r="AT36" s="24"/>
      <c r="AU36" s="24"/>
    </row>
    <row r="37" spans="1:48" ht="37.5" x14ac:dyDescent="0.4">
      <c r="A37" s="7" t="s">
        <v>558</v>
      </c>
      <c r="B37" s="207" t="s">
        <v>542</v>
      </c>
      <c r="C37" s="29" t="s">
        <v>66</v>
      </c>
      <c r="D37" s="10"/>
      <c r="E37" s="197" t="s">
        <v>484</v>
      </c>
      <c r="F37" s="10" t="s">
        <v>0</v>
      </c>
      <c r="G37" s="10" t="s">
        <v>0</v>
      </c>
      <c r="H37" s="10" t="s">
        <v>0</v>
      </c>
      <c r="I37" s="10" t="s">
        <v>0</v>
      </c>
      <c r="J37" s="10" t="s">
        <v>0</v>
      </c>
      <c r="K37" s="27" t="s">
        <v>91</v>
      </c>
      <c r="L37" s="28">
        <f>IFERROR(VLOOKUP(K37,選択肢リスト!$F$3:$G$7,2,FALSE),M37)</f>
        <v>1</v>
      </c>
      <c r="M37" s="24">
        <v>0</v>
      </c>
      <c r="N37" s="24"/>
      <c r="O37" s="24">
        <v>1</v>
      </c>
      <c r="P37" s="204"/>
      <c r="Q37" s="205">
        <v>1</v>
      </c>
      <c r="R37" s="149" t="str">
        <f t="shared" si="4"/>
        <v>〇</v>
      </c>
      <c r="S37" s="24"/>
      <c r="T37" s="24"/>
      <c r="U37" s="24"/>
      <c r="V37" s="24"/>
      <c r="W37" s="24"/>
      <c r="X37" s="24">
        <f t="shared" si="95"/>
        <v>0</v>
      </c>
      <c r="Y37" s="24">
        <f t="shared" si="96"/>
        <v>1</v>
      </c>
      <c r="Z37" s="28">
        <f t="shared" si="97"/>
        <v>0</v>
      </c>
      <c r="AA37" s="28">
        <f t="shared" si="98"/>
        <v>1</v>
      </c>
      <c r="AB37" s="24">
        <f t="shared" si="99"/>
        <v>0</v>
      </c>
      <c r="AC37" s="24">
        <f t="shared" si="100"/>
        <v>0</v>
      </c>
      <c r="AD37" s="24">
        <f t="shared" si="101"/>
        <v>0</v>
      </c>
      <c r="AE37" s="24">
        <f t="shared" si="102"/>
        <v>0</v>
      </c>
      <c r="AF37" s="24"/>
      <c r="AG37" s="24"/>
      <c r="AH37" s="28">
        <f>IF(K37="□不要、対象外",0,IF(C37="リスク確認",2*P37,IF(C37="対策確認",1*P37,"ERROR")))</f>
        <v>0</v>
      </c>
      <c r="AI37" s="28">
        <f>IF(K37="□不要、対象外",0,IF(C37="リスク確認",2*Q37,IF(C37="対策確認",1*Q37,"ERROR")))</f>
        <v>1</v>
      </c>
      <c r="AJ37" s="24">
        <f t="shared" si="35"/>
        <v>0</v>
      </c>
      <c r="AK37" s="24">
        <f t="shared" si="36"/>
        <v>0</v>
      </c>
      <c r="AL37" s="24">
        <f t="shared" si="37"/>
        <v>0</v>
      </c>
      <c r="AM37" s="24">
        <f t="shared" si="38"/>
        <v>0</v>
      </c>
      <c r="AN37" s="24"/>
      <c r="AO37" s="24"/>
      <c r="AP37" s="28">
        <f>IF(K37="□不要、対象外",0,IF(C37="リスク確認",0*P37,IF(C37="対策確認",-1*P37,"ERROR")))</f>
        <v>0</v>
      </c>
      <c r="AQ37" s="28">
        <f>IF(K37="□不要、対象外",0,IF(C37="リスク確認",0*Q37,IF(C37="対策確認",-1*Q37,"ERROR")))</f>
        <v>-1</v>
      </c>
      <c r="AR37" s="24"/>
      <c r="AS37" s="24"/>
      <c r="AT37" s="24"/>
      <c r="AU37" s="24"/>
    </row>
    <row r="38" spans="1:48" x14ac:dyDescent="0.4">
      <c r="A38" s="7" t="s">
        <v>558</v>
      </c>
      <c r="B38" s="207" t="s">
        <v>543</v>
      </c>
      <c r="C38" s="29" t="s">
        <v>66</v>
      </c>
      <c r="D38" s="10"/>
      <c r="E38" s="197" t="s">
        <v>132</v>
      </c>
      <c r="F38" s="10" t="s">
        <v>0</v>
      </c>
      <c r="G38" s="10" t="s">
        <v>0</v>
      </c>
      <c r="H38" s="10" t="s">
        <v>0</v>
      </c>
      <c r="I38" s="10" t="s">
        <v>0</v>
      </c>
      <c r="J38" s="10" t="s">
        <v>0</v>
      </c>
      <c r="K38" s="27" t="s">
        <v>91</v>
      </c>
      <c r="L38" s="28">
        <f>IFERROR(VLOOKUP(K38,選択肢リスト!$F$3:$G$7,2,FALSE),M38)</f>
        <v>1</v>
      </c>
      <c r="M38" s="24">
        <v>0</v>
      </c>
      <c r="N38" s="24"/>
      <c r="O38" s="24">
        <v>1</v>
      </c>
      <c r="P38" s="204"/>
      <c r="Q38" s="205">
        <v>2</v>
      </c>
      <c r="R38" s="149" t="str">
        <f t="shared" si="4"/>
        <v>〇</v>
      </c>
      <c r="S38" s="24"/>
      <c r="T38" s="24"/>
      <c r="U38" s="24"/>
      <c r="V38" s="24"/>
      <c r="W38" s="24"/>
      <c r="X38" s="24">
        <f t="shared" ref="X38" si="103">$L38*N38</f>
        <v>0</v>
      </c>
      <c r="Y38" s="24">
        <f t="shared" ref="Y38" si="104">$L38*O38</f>
        <v>1</v>
      </c>
      <c r="Z38" s="28">
        <f t="shared" ref="Z38" si="105">$L38*P38</f>
        <v>0</v>
      </c>
      <c r="AA38" s="28">
        <f t="shared" ref="AA38" si="106">$L38*Q38</f>
        <v>2</v>
      </c>
      <c r="AB38" s="24">
        <f t="shared" ref="AB38" si="107">$L38*S38</f>
        <v>0</v>
      </c>
      <c r="AC38" s="24">
        <f t="shared" ref="AC38" si="108">$L38*T38</f>
        <v>0</v>
      </c>
      <c r="AD38" s="24">
        <f t="shared" ref="AD38" si="109">$L38*U38</f>
        <v>0</v>
      </c>
      <c r="AE38" s="24">
        <f t="shared" ref="AE38" si="110">$L38*V38</f>
        <v>0</v>
      </c>
      <c r="AF38" s="24"/>
      <c r="AG38" s="24"/>
      <c r="AH38" s="28">
        <f>IF(K38="□不要、対象外",0,IF(C38="リスク確認",2*P38,IF(C38="対策確認",1*P38,"ERROR")))</f>
        <v>0</v>
      </c>
      <c r="AI38" s="28">
        <f>IF(K38="□不要、対象外",0,IF(C38="リスク確認",2*Q38,IF(C38="対策確認",1*Q38,"ERROR")))</f>
        <v>2</v>
      </c>
      <c r="AJ38" s="24">
        <f t="shared" si="35"/>
        <v>0</v>
      </c>
      <c r="AK38" s="24">
        <f t="shared" si="36"/>
        <v>0</v>
      </c>
      <c r="AL38" s="24">
        <f t="shared" si="37"/>
        <v>0</v>
      </c>
      <c r="AM38" s="24">
        <f t="shared" si="38"/>
        <v>0</v>
      </c>
      <c r="AN38" s="24"/>
      <c r="AO38" s="24"/>
      <c r="AP38" s="28">
        <f>IF(K38="□不要、対象外",0,IF(C38="リスク確認",0*P38,IF(C38="対策確認",-1*P38,"ERROR")))</f>
        <v>0</v>
      </c>
      <c r="AQ38" s="28">
        <f>IF(K38="□不要、対象外",0,IF(C38="リスク確認",0*Q38,IF(C38="対策確認",-1*Q38,"ERROR")))</f>
        <v>-2</v>
      </c>
      <c r="AR38" s="24"/>
      <c r="AS38" s="24"/>
      <c r="AT38" s="24"/>
      <c r="AU38" s="24"/>
    </row>
    <row r="39" spans="1:48" x14ac:dyDescent="0.4">
      <c r="A39" s="7" t="s">
        <v>518</v>
      </c>
      <c r="B39" s="10"/>
      <c r="C39" s="26" t="s">
        <v>65</v>
      </c>
      <c r="D39" s="10"/>
      <c r="E39" s="25" t="s">
        <v>85</v>
      </c>
      <c r="F39" s="10" t="s">
        <v>0</v>
      </c>
      <c r="G39" s="10" t="s">
        <v>0</v>
      </c>
      <c r="H39" s="10" t="s">
        <v>0</v>
      </c>
      <c r="I39" s="10" t="s">
        <v>0</v>
      </c>
      <c r="J39" s="10" t="s">
        <v>0</v>
      </c>
      <c r="K39" s="23" t="s">
        <v>73</v>
      </c>
      <c r="L39" s="24">
        <f>IFERROR(VLOOKUP(K39,選択肢リスト!$B$3:$C$6,2,FALSE),M39)</f>
        <v>0</v>
      </c>
      <c r="M39" s="24">
        <v>0</v>
      </c>
      <c r="N39" s="24"/>
      <c r="O39" s="24"/>
      <c r="P39" s="24"/>
      <c r="Q39" s="24"/>
      <c r="R39" s="149" t="str">
        <f t="shared" si="4"/>
        <v/>
      </c>
      <c r="S39" s="24"/>
      <c r="T39" s="24">
        <v>1</v>
      </c>
      <c r="U39" s="24"/>
      <c r="V39" s="24"/>
      <c r="W39" s="24"/>
      <c r="X39" s="24">
        <f t="shared" si="95"/>
        <v>0</v>
      </c>
      <c r="Y39" s="24">
        <f t="shared" si="96"/>
        <v>0</v>
      </c>
      <c r="Z39" s="24">
        <f t="shared" si="97"/>
        <v>0</v>
      </c>
      <c r="AA39" s="24">
        <f t="shared" si="98"/>
        <v>0</v>
      </c>
      <c r="AB39" s="24">
        <f t="shared" si="99"/>
        <v>0</v>
      </c>
      <c r="AC39" s="24">
        <f t="shared" si="100"/>
        <v>0</v>
      </c>
      <c r="AD39" s="24">
        <f t="shared" si="101"/>
        <v>0</v>
      </c>
      <c r="AE39" s="24">
        <f t="shared" si="102"/>
        <v>0</v>
      </c>
      <c r="AF39" s="24"/>
      <c r="AG39" s="24"/>
      <c r="AH39" s="24">
        <f t="shared" si="47"/>
        <v>0</v>
      </c>
      <c r="AI39" s="24">
        <f t="shared" si="48"/>
        <v>0</v>
      </c>
      <c r="AJ39" s="24"/>
      <c r="AK39" s="24"/>
      <c r="AL39" s="24"/>
      <c r="AM39" s="24"/>
      <c r="AN39" s="24"/>
      <c r="AO39" s="24"/>
      <c r="AP39" s="24"/>
      <c r="AQ39" s="24"/>
      <c r="AR39" s="24"/>
      <c r="AS39" s="24"/>
      <c r="AT39" s="24"/>
      <c r="AU39" s="24"/>
      <c r="AV39" s="189"/>
    </row>
    <row r="40" spans="1:48" x14ac:dyDescent="0.4">
      <c r="A40" s="7" t="s">
        <v>518</v>
      </c>
      <c r="B40" s="10"/>
      <c r="C40" s="26" t="s">
        <v>65</v>
      </c>
      <c r="D40" s="10"/>
      <c r="E40" s="25" t="s">
        <v>86</v>
      </c>
      <c r="F40" s="10" t="s">
        <v>0</v>
      </c>
      <c r="G40" s="10" t="s">
        <v>0</v>
      </c>
      <c r="H40" s="10" t="s">
        <v>0</v>
      </c>
      <c r="I40" s="10" t="s">
        <v>0</v>
      </c>
      <c r="J40" s="10" t="s">
        <v>0</v>
      </c>
      <c r="K40" s="23" t="s">
        <v>73</v>
      </c>
      <c r="L40" s="24">
        <f>IFERROR(VLOOKUP(K40,選択肢リスト!$B$3:$C$6,2,FALSE),M40)</f>
        <v>0</v>
      </c>
      <c r="M40" s="24">
        <v>0</v>
      </c>
      <c r="N40" s="24"/>
      <c r="O40" s="24"/>
      <c r="P40" s="24"/>
      <c r="Q40" s="24"/>
      <c r="R40" s="149" t="str">
        <f t="shared" si="4"/>
        <v/>
      </c>
      <c r="S40" s="24"/>
      <c r="T40" s="24">
        <v>2</v>
      </c>
      <c r="U40" s="24"/>
      <c r="V40" s="24"/>
      <c r="W40" s="24"/>
      <c r="X40" s="24">
        <f t="shared" si="95"/>
        <v>0</v>
      </c>
      <c r="Y40" s="24">
        <f t="shared" si="96"/>
        <v>0</v>
      </c>
      <c r="Z40" s="24">
        <f t="shared" si="97"/>
        <v>0</v>
      </c>
      <c r="AA40" s="24">
        <f t="shared" si="98"/>
        <v>0</v>
      </c>
      <c r="AB40" s="24">
        <f t="shared" si="99"/>
        <v>0</v>
      </c>
      <c r="AC40" s="24">
        <f t="shared" si="100"/>
        <v>0</v>
      </c>
      <c r="AD40" s="24">
        <f t="shared" si="101"/>
        <v>0</v>
      </c>
      <c r="AE40" s="24">
        <f t="shared" si="102"/>
        <v>0</v>
      </c>
      <c r="AF40" s="24"/>
      <c r="AG40" s="24"/>
      <c r="AH40" s="24">
        <f t="shared" si="47"/>
        <v>0</v>
      </c>
      <c r="AI40" s="24">
        <f t="shared" si="48"/>
        <v>0</v>
      </c>
      <c r="AJ40" s="24"/>
      <c r="AK40" s="24"/>
      <c r="AL40" s="24"/>
      <c r="AM40" s="24"/>
      <c r="AN40" s="24"/>
      <c r="AO40" s="24"/>
      <c r="AP40" s="24"/>
      <c r="AQ40" s="24"/>
      <c r="AR40" s="24"/>
      <c r="AS40" s="24"/>
      <c r="AT40" s="24"/>
      <c r="AU40" s="24"/>
      <c r="AV40" s="189"/>
    </row>
    <row r="41" spans="1:48" x14ac:dyDescent="0.4">
      <c r="A41" s="7" t="s">
        <v>518</v>
      </c>
      <c r="B41" s="10"/>
      <c r="C41" s="26" t="s">
        <v>65</v>
      </c>
      <c r="D41" s="10"/>
      <c r="E41" s="25" t="s">
        <v>87</v>
      </c>
      <c r="F41" s="10" t="s">
        <v>0</v>
      </c>
      <c r="G41" s="10"/>
      <c r="H41" s="10" t="s">
        <v>0</v>
      </c>
      <c r="I41" s="10" t="s">
        <v>0</v>
      </c>
      <c r="J41" s="10" t="s">
        <v>0</v>
      </c>
      <c r="K41" s="23" t="s">
        <v>73</v>
      </c>
      <c r="L41" s="24">
        <f>IFERROR(VLOOKUP(K41,選択肢リスト!$B$3:$C$6,2,FALSE),M41)</f>
        <v>0</v>
      </c>
      <c r="M41" s="24">
        <v>0</v>
      </c>
      <c r="N41" s="24"/>
      <c r="O41" s="24"/>
      <c r="P41" s="24"/>
      <c r="Q41" s="24"/>
      <c r="R41" s="149" t="str">
        <f t="shared" si="4"/>
        <v/>
      </c>
      <c r="S41" s="24"/>
      <c r="T41" s="24">
        <v>2</v>
      </c>
      <c r="U41" s="24"/>
      <c r="V41" s="24"/>
      <c r="W41" s="24"/>
      <c r="X41" s="24">
        <f t="shared" si="95"/>
        <v>0</v>
      </c>
      <c r="Y41" s="24">
        <f t="shared" si="96"/>
        <v>0</v>
      </c>
      <c r="Z41" s="24">
        <f t="shared" si="97"/>
        <v>0</v>
      </c>
      <c r="AA41" s="24">
        <f t="shared" si="98"/>
        <v>0</v>
      </c>
      <c r="AB41" s="24">
        <f t="shared" si="99"/>
        <v>0</v>
      </c>
      <c r="AC41" s="24">
        <f t="shared" si="100"/>
        <v>0</v>
      </c>
      <c r="AD41" s="24">
        <f t="shared" si="101"/>
        <v>0</v>
      </c>
      <c r="AE41" s="24">
        <f t="shared" si="102"/>
        <v>0</v>
      </c>
      <c r="AF41" s="24"/>
      <c r="AG41" s="24"/>
      <c r="AH41" s="24">
        <f t="shared" si="47"/>
        <v>0</v>
      </c>
      <c r="AI41" s="24">
        <f t="shared" si="48"/>
        <v>0</v>
      </c>
      <c r="AJ41" s="24"/>
      <c r="AK41" s="24"/>
      <c r="AL41" s="24"/>
      <c r="AM41" s="24"/>
      <c r="AN41" s="24"/>
      <c r="AO41" s="24"/>
      <c r="AP41" s="24"/>
      <c r="AQ41" s="24"/>
      <c r="AR41" s="24"/>
      <c r="AS41" s="24"/>
      <c r="AT41" s="24"/>
      <c r="AU41" s="24"/>
      <c r="AV41" s="189"/>
    </row>
    <row r="42" spans="1:48" x14ac:dyDescent="0.4">
      <c r="A42" s="7" t="s">
        <v>518</v>
      </c>
      <c r="B42" s="10"/>
      <c r="C42" s="29" t="s">
        <v>66</v>
      </c>
      <c r="D42" s="10"/>
      <c r="E42" s="25" t="s">
        <v>88</v>
      </c>
      <c r="F42" s="10" t="s">
        <v>0</v>
      </c>
      <c r="G42" s="10" t="s">
        <v>0</v>
      </c>
      <c r="H42" s="10" t="s">
        <v>0</v>
      </c>
      <c r="I42" s="10" t="s">
        <v>0</v>
      </c>
      <c r="J42" s="10" t="s">
        <v>0</v>
      </c>
      <c r="K42" s="27" t="s">
        <v>73</v>
      </c>
      <c r="L42" s="28">
        <f>IFERROR(VLOOKUP(K42,選択肢リスト!$F$3:$G$7,2,FALSE),M42)</f>
        <v>1</v>
      </c>
      <c r="M42" s="24">
        <v>0</v>
      </c>
      <c r="N42" s="24"/>
      <c r="O42" s="24"/>
      <c r="P42" s="24"/>
      <c r="Q42" s="24"/>
      <c r="R42" s="149" t="str">
        <f t="shared" si="4"/>
        <v/>
      </c>
      <c r="S42" s="24"/>
      <c r="T42" s="24">
        <v>2</v>
      </c>
      <c r="U42" s="24"/>
      <c r="V42" s="24"/>
      <c r="W42" s="24"/>
      <c r="X42" s="24">
        <f t="shared" si="95"/>
        <v>0</v>
      </c>
      <c r="Y42" s="24">
        <f t="shared" si="96"/>
        <v>0</v>
      </c>
      <c r="Z42" s="28">
        <f t="shared" si="97"/>
        <v>0</v>
      </c>
      <c r="AA42" s="28">
        <f t="shared" si="98"/>
        <v>0</v>
      </c>
      <c r="AB42" s="24">
        <f t="shared" si="99"/>
        <v>0</v>
      </c>
      <c r="AC42" s="24">
        <f t="shared" si="100"/>
        <v>2</v>
      </c>
      <c r="AD42" s="24">
        <f t="shared" si="101"/>
        <v>0</v>
      </c>
      <c r="AE42" s="24">
        <f t="shared" si="102"/>
        <v>0</v>
      </c>
      <c r="AF42" s="24"/>
      <c r="AG42" s="24"/>
      <c r="AH42" s="28">
        <f t="shared" si="47"/>
        <v>0</v>
      </c>
      <c r="AI42" s="28">
        <f t="shared" si="48"/>
        <v>0</v>
      </c>
      <c r="AJ42" s="24"/>
      <c r="AK42" s="24"/>
      <c r="AL42" s="24"/>
      <c r="AM42" s="24"/>
      <c r="AN42" s="24"/>
      <c r="AO42" s="24"/>
      <c r="AP42" s="28"/>
      <c r="AQ42" s="28"/>
      <c r="AR42" s="24"/>
      <c r="AS42" s="24"/>
      <c r="AT42" s="24"/>
      <c r="AU42" s="24"/>
      <c r="AV42" s="189"/>
    </row>
    <row r="43" spans="1:48" x14ac:dyDescent="0.4">
      <c r="A43" s="7" t="s">
        <v>558</v>
      </c>
      <c r="B43" s="207" t="s">
        <v>544</v>
      </c>
      <c r="C43" s="29" t="s">
        <v>66</v>
      </c>
      <c r="D43" s="10"/>
      <c r="E43" s="197" t="s">
        <v>470</v>
      </c>
      <c r="F43" s="10" t="s">
        <v>0</v>
      </c>
      <c r="G43" s="10" t="s">
        <v>0</v>
      </c>
      <c r="H43" s="10" t="s">
        <v>0</v>
      </c>
      <c r="I43" s="10" t="s">
        <v>0</v>
      </c>
      <c r="J43" s="10" t="s">
        <v>0</v>
      </c>
      <c r="K43" s="27" t="s">
        <v>91</v>
      </c>
      <c r="L43" s="28">
        <f>IFERROR(VLOOKUP(K43,選択肢リスト!$F$3:$G$7,2,FALSE),M43)</f>
        <v>1</v>
      </c>
      <c r="M43" s="24">
        <v>0</v>
      </c>
      <c r="N43" s="24"/>
      <c r="O43" s="24"/>
      <c r="P43" s="205">
        <v>1</v>
      </c>
      <c r="Q43" s="204"/>
      <c r="R43" s="149" t="str">
        <f t="shared" si="4"/>
        <v>〇</v>
      </c>
      <c r="S43" s="24"/>
      <c r="T43" s="24"/>
      <c r="U43" s="24"/>
      <c r="V43" s="24"/>
      <c r="W43" s="24"/>
      <c r="X43" s="24">
        <f t="shared" si="95"/>
        <v>0</v>
      </c>
      <c r="Y43" s="24">
        <f t="shared" si="96"/>
        <v>0</v>
      </c>
      <c r="Z43" s="28">
        <f t="shared" si="97"/>
        <v>1</v>
      </c>
      <c r="AA43" s="28">
        <f t="shared" si="98"/>
        <v>0</v>
      </c>
      <c r="AB43" s="24">
        <f t="shared" si="99"/>
        <v>0</v>
      </c>
      <c r="AC43" s="24">
        <f t="shared" si="100"/>
        <v>0</v>
      </c>
      <c r="AD43" s="24">
        <f t="shared" si="101"/>
        <v>0</v>
      </c>
      <c r="AE43" s="24">
        <f t="shared" si="102"/>
        <v>0</v>
      </c>
      <c r="AF43" s="24"/>
      <c r="AG43" s="24"/>
      <c r="AH43" s="28">
        <f>IF(K43="□不要、対象外",0,IF(C43="リスク確認",2*P43,IF(C43="対策確認",1*P43,"ERROR")))</f>
        <v>1</v>
      </c>
      <c r="AI43" s="28">
        <f>IF(K43="□不要、対象外",0,IF(C43="リスク確認",2*Q43,IF(C43="対策確認",1*Q43,"ERROR")))</f>
        <v>0</v>
      </c>
      <c r="AJ43" s="24">
        <f>S43*$M43</f>
        <v>0</v>
      </c>
      <c r="AK43" s="24">
        <f>T43*$M43</f>
        <v>0</v>
      </c>
      <c r="AL43" s="24">
        <f>U43*$M43</f>
        <v>0</v>
      </c>
      <c r="AM43" s="24">
        <f>V43*$M43</f>
        <v>0</v>
      </c>
      <c r="AN43" s="24"/>
      <c r="AO43" s="24"/>
      <c r="AP43" s="28">
        <f>IF(K43="□不要、対象外",0,IF(C43="リスク確認",0*P43,IF(C43="対策確認",-1*P43,"ERROR")))</f>
        <v>-1</v>
      </c>
      <c r="AQ43" s="28">
        <f>IF(K43="□不要、対象外",0,IF(C43="リスク確認",0*Q43,IF(C43="対策確認",-1*Q43,"ERROR")))</f>
        <v>0</v>
      </c>
      <c r="AR43" s="24"/>
      <c r="AS43" s="24"/>
      <c r="AT43" s="24"/>
      <c r="AU43" s="24"/>
    </row>
    <row r="44" spans="1:48" x14ac:dyDescent="0.4">
      <c r="A44" s="7" t="s">
        <v>518</v>
      </c>
      <c r="B44" s="10"/>
      <c r="C44" s="29" t="s">
        <v>66</v>
      </c>
      <c r="D44" s="10"/>
      <c r="E44" s="25" t="s">
        <v>156</v>
      </c>
      <c r="F44" s="10" t="s">
        <v>0</v>
      </c>
      <c r="G44" s="10" t="s">
        <v>0</v>
      </c>
      <c r="H44" s="10" t="s">
        <v>0</v>
      </c>
      <c r="I44" s="10" t="s">
        <v>0</v>
      </c>
      <c r="J44" s="10" t="s">
        <v>0</v>
      </c>
      <c r="K44" s="27" t="e">
        <f>IF(#REF!="","",#REF!)</f>
        <v>#REF!</v>
      </c>
      <c r="L44" s="28">
        <f>IFERROR(VLOOKUP(K44,選択肢リスト!$F$3:$G$7,2,FALSE),M44)</f>
        <v>0</v>
      </c>
      <c r="M44" s="24">
        <v>0</v>
      </c>
      <c r="N44" s="24"/>
      <c r="O44" s="24"/>
      <c r="P44" s="24"/>
      <c r="Q44" s="24"/>
      <c r="R44" s="149" t="str">
        <f t="shared" si="4"/>
        <v/>
      </c>
      <c r="S44" s="24"/>
      <c r="T44" s="24">
        <v>1</v>
      </c>
      <c r="U44" s="24"/>
      <c r="V44" s="24"/>
      <c r="W44" s="24"/>
      <c r="X44" s="24">
        <f t="shared" si="95"/>
        <v>0</v>
      </c>
      <c r="Y44" s="24">
        <f t="shared" si="96"/>
        <v>0</v>
      </c>
      <c r="Z44" s="28">
        <f t="shared" si="97"/>
        <v>0</v>
      </c>
      <c r="AA44" s="28">
        <f t="shared" si="98"/>
        <v>0</v>
      </c>
      <c r="AB44" s="24">
        <f t="shared" si="99"/>
        <v>0</v>
      </c>
      <c r="AC44" s="24">
        <f t="shared" si="100"/>
        <v>0</v>
      </c>
      <c r="AD44" s="24">
        <f t="shared" si="101"/>
        <v>0</v>
      </c>
      <c r="AE44" s="24">
        <f t="shared" si="102"/>
        <v>0</v>
      </c>
      <c r="AF44" s="24"/>
      <c r="AG44" s="24"/>
      <c r="AH44" s="28"/>
      <c r="AI44" s="28"/>
      <c r="AJ44" s="24"/>
      <c r="AK44" s="24"/>
      <c r="AL44" s="24"/>
      <c r="AM44" s="24"/>
      <c r="AN44" s="24"/>
      <c r="AO44" s="24"/>
      <c r="AP44" s="28"/>
      <c r="AQ44" s="28"/>
      <c r="AR44" s="24"/>
      <c r="AS44" s="24"/>
      <c r="AT44" s="24"/>
      <c r="AU44" s="24"/>
      <c r="AV44" s="189"/>
    </row>
    <row r="45" spans="1:48" x14ac:dyDescent="0.4">
      <c r="A45" s="7" t="s">
        <v>518</v>
      </c>
      <c r="B45" s="10"/>
      <c r="C45" s="29" t="s">
        <v>66</v>
      </c>
      <c r="D45" s="10"/>
      <c r="E45" s="25" t="s">
        <v>153</v>
      </c>
      <c r="F45" s="10" t="s">
        <v>0</v>
      </c>
      <c r="G45" s="10" t="s">
        <v>0</v>
      </c>
      <c r="H45" s="10" t="s">
        <v>0</v>
      </c>
      <c r="I45" s="10" t="s">
        <v>0</v>
      </c>
      <c r="J45" s="10" t="s">
        <v>0</v>
      </c>
      <c r="K45" s="27" t="e">
        <f>IF(#REF!="","",#REF!)</f>
        <v>#REF!</v>
      </c>
      <c r="L45" s="28">
        <f>IFERROR(VLOOKUP(K45,選択肢リスト!$F$3:$G$7,2,FALSE),M45)</f>
        <v>0</v>
      </c>
      <c r="M45" s="24">
        <v>0</v>
      </c>
      <c r="N45" s="24"/>
      <c r="O45" s="24"/>
      <c r="P45" s="24"/>
      <c r="Q45" s="24"/>
      <c r="R45" s="149" t="str">
        <f t="shared" si="4"/>
        <v/>
      </c>
      <c r="S45" s="24"/>
      <c r="T45" s="24">
        <v>1</v>
      </c>
      <c r="U45" s="24"/>
      <c r="V45" s="24"/>
      <c r="W45" s="24"/>
      <c r="X45" s="24">
        <f t="shared" si="95"/>
        <v>0</v>
      </c>
      <c r="Y45" s="24">
        <f t="shared" si="96"/>
        <v>0</v>
      </c>
      <c r="Z45" s="28">
        <f t="shared" si="97"/>
        <v>0</v>
      </c>
      <c r="AA45" s="28">
        <f t="shared" si="98"/>
        <v>0</v>
      </c>
      <c r="AB45" s="24">
        <f t="shared" si="99"/>
        <v>0</v>
      </c>
      <c r="AC45" s="24">
        <f t="shared" si="100"/>
        <v>0</v>
      </c>
      <c r="AD45" s="24">
        <f t="shared" si="101"/>
        <v>0</v>
      </c>
      <c r="AE45" s="24">
        <f t="shared" si="102"/>
        <v>0</v>
      </c>
      <c r="AF45" s="24"/>
      <c r="AG45" s="24"/>
      <c r="AH45" s="28"/>
      <c r="AI45" s="28"/>
      <c r="AJ45" s="24"/>
      <c r="AK45" s="24"/>
      <c r="AL45" s="24"/>
      <c r="AM45" s="24"/>
      <c r="AN45" s="24"/>
      <c r="AO45" s="24"/>
      <c r="AP45" s="28"/>
      <c r="AQ45" s="28"/>
      <c r="AR45" s="24"/>
      <c r="AS45" s="24"/>
      <c r="AT45" s="24"/>
      <c r="AU45" s="24"/>
      <c r="AV45" s="189"/>
    </row>
    <row r="46" spans="1:48" x14ac:dyDescent="0.4">
      <c r="A46" s="24"/>
      <c r="B46" s="10"/>
      <c r="C46" s="10"/>
      <c r="D46" s="10"/>
      <c r="E46" s="25"/>
      <c r="F46" s="10"/>
      <c r="G46" s="10"/>
      <c r="H46" s="10"/>
      <c r="I46" s="10"/>
      <c r="J46" s="10"/>
      <c r="K46" s="23" t="e">
        <f>IF(#REF!="","",#REF!)</f>
        <v>#REF!</v>
      </c>
      <c r="L46" s="24"/>
      <c r="M46" s="24"/>
      <c r="N46" s="24"/>
      <c r="O46" s="24"/>
      <c r="P46" s="24"/>
      <c r="Q46" s="24"/>
      <c r="R46" s="149" t="str">
        <f t="shared" si="4"/>
        <v/>
      </c>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189"/>
    </row>
    <row r="47" spans="1:48" x14ac:dyDescent="0.4">
      <c r="A47" s="31" t="s">
        <v>511</v>
      </c>
      <c r="B47" s="31"/>
      <c r="C47" s="31" t="s">
        <v>53</v>
      </c>
      <c r="D47" s="32"/>
      <c r="E47" s="195"/>
      <c r="F47" s="32"/>
      <c r="G47" s="32"/>
      <c r="H47" s="32"/>
      <c r="I47" s="32"/>
      <c r="J47" s="32"/>
      <c r="K47" s="33" t="e">
        <f>IF(#REF!="","",#REF!)</f>
        <v>#REF!</v>
      </c>
      <c r="L47" s="32"/>
      <c r="M47" s="34"/>
      <c r="N47" s="34"/>
      <c r="O47" s="34"/>
      <c r="P47" s="202" t="s">
        <v>0</v>
      </c>
      <c r="Q47" s="202" t="s">
        <v>0</v>
      </c>
      <c r="R47" s="32" t="s">
        <v>0</v>
      </c>
      <c r="S47" s="34"/>
      <c r="T47" s="34"/>
      <c r="U47" s="34"/>
      <c r="V47" s="34"/>
      <c r="W47" s="31" t="s">
        <v>106</v>
      </c>
      <c r="X47" s="35">
        <f t="shared" ref="X47:AE47" si="111">SUM(X48:X66)</f>
        <v>4</v>
      </c>
      <c r="Y47" s="35">
        <f t="shared" si="111"/>
        <v>10</v>
      </c>
      <c r="Z47" s="35">
        <f t="shared" si="111"/>
        <v>0</v>
      </c>
      <c r="AA47" s="35">
        <f t="shared" si="111"/>
        <v>14</v>
      </c>
      <c r="AB47" s="35">
        <f t="shared" si="111"/>
        <v>0</v>
      </c>
      <c r="AC47" s="35">
        <f t="shared" si="111"/>
        <v>0</v>
      </c>
      <c r="AD47" s="35">
        <f t="shared" si="111"/>
        <v>0</v>
      </c>
      <c r="AE47" s="35">
        <f t="shared" si="111"/>
        <v>0</v>
      </c>
      <c r="AF47" s="35"/>
      <c r="AG47" s="35"/>
      <c r="AH47" s="35">
        <f t="shared" ref="AH47:AM47" si="112">SUM(AH48:AH66)</f>
        <v>0</v>
      </c>
      <c r="AI47" s="35">
        <f t="shared" si="112"/>
        <v>26</v>
      </c>
      <c r="AJ47" s="35">
        <f t="shared" si="112"/>
        <v>0</v>
      </c>
      <c r="AK47" s="35">
        <f t="shared" si="112"/>
        <v>0</v>
      </c>
      <c r="AL47" s="35">
        <f t="shared" si="112"/>
        <v>0</v>
      </c>
      <c r="AM47" s="35">
        <f t="shared" si="112"/>
        <v>0</v>
      </c>
      <c r="AN47" s="35"/>
      <c r="AO47" s="35"/>
      <c r="AP47" s="35">
        <f>SUM(AP48:AP66)</f>
        <v>0</v>
      </c>
      <c r="AQ47" s="35">
        <f>SUM(AQ48:AQ66)</f>
        <v>-6</v>
      </c>
      <c r="AR47" s="35"/>
      <c r="AS47" s="35"/>
      <c r="AT47" s="35"/>
      <c r="AU47" s="35"/>
      <c r="AV47" s="189"/>
    </row>
    <row r="48" spans="1:48" x14ac:dyDescent="0.4">
      <c r="A48" s="24" t="s">
        <v>511</v>
      </c>
      <c r="B48" s="10"/>
      <c r="C48" s="26" t="s">
        <v>65</v>
      </c>
      <c r="D48" s="10"/>
      <c r="E48" s="25" t="s">
        <v>127</v>
      </c>
      <c r="F48" s="10" t="s">
        <v>0</v>
      </c>
      <c r="G48" s="10" t="s">
        <v>0</v>
      </c>
      <c r="H48" s="10" t="s">
        <v>0</v>
      </c>
      <c r="I48" s="10" t="s">
        <v>0</v>
      </c>
      <c r="J48" s="10" t="s">
        <v>0</v>
      </c>
      <c r="K48" s="23" t="e">
        <f>IF(#REF!="","",#REF!)</f>
        <v>#REF!</v>
      </c>
      <c r="L48" s="24">
        <f>IFERROR(VLOOKUP(K48,選択肢リスト!$B$3:$C$6,2,FALSE),M48)</f>
        <v>0</v>
      </c>
      <c r="M48" s="24">
        <v>0</v>
      </c>
      <c r="N48" s="24">
        <v>2</v>
      </c>
      <c r="O48" s="24"/>
      <c r="P48" s="24"/>
      <c r="Q48" s="24"/>
      <c r="R48" s="149" t="str">
        <f t="shared" ref="R48:R110" si="113">IF(AND(P48="",Q48=""),"","〇")</f>
        <v/>
      </c>
      <c r="S48" s="24"/>
      <c r="T48" s="24"/>
      <c r="U48" s="24"/>
      <c r="V48" s="24"/>
      <c r="W48" s="24"/>
      <c r="X48" s="24">
        <f t="shared" ref="X48:X51" si="114">$L48*N48</f>
        <v>0</v>
      </c>
      <c r="Y48" s="24">
        <f t="shared" ref="Y48" si="115">$L48*O48</f>
        <v>0</v>
      </c>
      <c r="Z48" s="24">
        <f t="shared" ref="Z48" si="116">$L48*P48</f>
        <v>0</v>
      </c>
      <c r="AA48" s="24">
        <f t="shared" ref="AA48" si="117">$L48*Q48</f>
        <v>0</v>
      </c>
      <c r="AB48" s="24">
        <f t="shared" ref="AB48" si="118">$L48*S48</f>
        <v>0</v>
      </c>
      <c r="AC48" s="24">
        <f t="shared" ref="AC48" si="119">$L48*T48</f>
        <v>0</v>
      </c>
      <c r="AD48" s="24">
        <f t="shared" ref="AD48" si="120">$L48*U48</f>
        <v>0</v>
      </c>
      <c r="AE48" s="24">
        <f t="shared" ref="AE48" si="121">$L48*V48</f>
        <v>0</v>
      </c>
      <c r="AF48" s="24"/>
      <c r="AG48" s="24"/>
      <c r="AH48" s="24"/>
      <c r="AI48" s="24"/>
      <c r="AJ48" s="24"/>
      <c r="AK48" s="24"/>
      <c r="AL48" s="24"/>
      <c r="AM48" s="24"/>
      <c r="AN48" s="24"/>
      <c r="AO48" s="24"/>
      <c r="AP48" s="24"/>
      <c r="AQ48" s="24"/>
      <c r="AR48" s="24"/>
      <c r="AS48" s="24"/>
      <c r="AT48" s="24"/>
      <c r="AU48" s="24"/>
      <c r="AV48" s="189"/>
    </row>
    <row r="49" spans="1:48" x14ac:dyDescent="0.4">
      <c r="A49" s="24" t="s">
        <v>511</v>
      </c>
      <c r="B49" s="147" t="s">
        <v>554</v>
      </c>
      <c r="C49" s="26" t="s">
        <v>65</v>
      </c>
      <c r="D49" s="10"/>
      <c r="E49" s="193" t="s">
        <v>460</v>
      </c>
      <c r="F49" s="10" t="s">
        <v>0</v>
      </c>
      <c r="G49" s="10" t="s">
        <v>0</v>
      </c>
      <c r="H49" s="10" t="s">
        <v>0</v>
      </c>
      <c r="I49" s="10" t="s">
        <v>0</v>
      </c>
      <c r="J49" s="10" t="s">
        <v>0</v>
      </c>
      <c r="K49" s="182" t="s">
        <v>70</v>
      </c>
      <c r="L49" s="184">
        <f>IFERROR(VLOOKUP(K49,選択肢リスト!$B$3:$C$6,2,FALSE),M49)</f>
        <v>2</v>
      </c>
      <c r="M49" s="24">
        <v>0</v>
      </c>
      <c r="N49" s="24"/>
      <c r="O49" s="24">
        <v>1</v>
      </c>
      <c r="P49" s="204"/>
      <c r="Q49" s="203">
        <v>1</v>
      </c>
      <c r="R49" s="149" t="str">
        <f t="shared" si="113"/>
        <v>〇</v>
      </c>
      <c r="S49" s="24"/>
      <c r="T49" s="24"/>
      <c r="U49" s="24"/>
      <c r="V49" s="24"/>
      <c r="W49" s="24"/>
      <c r="X49" s="24">
        <f t="shared" si="114"/>
        <v>0</v>
      </c>
      <c r="Y49" s="24">
        <f t="shared" ref="Y49:Y50" si="122">$L49*O49</f>
        <v>2</v>
      </c>
      <c r="Z49" s="184">
        <f t="shared" ref="Z49:Z50" si="123">$L49*P49</f>
        <v>0</v>
      </c>
      <c r="AA49" s="184">
        <f t="shared" ref="AA49:AA50" si="124">$L49*Q49</f>
        <v>2</v>
      </c>
      <c r="AB49" s="24">
        <f t="shared" ref="AB49:AB50" si="125">$L49*S49</f>
        <v>0</v>
      </c>
      <c r="AC49" s="24">
        <f t="shared" ref="AC49:AC50" si="126">$L49*T49</f>
        <v>0</v>
      </c>
      <c r="AD49" s="24">
        <f t="shared" ref="AD49:AD50" si="127">$L49*U49</f>
        <v>0</v>
      </c>
      <c r="AE49" s="24">
        <f t="shared" ref="AE49:AE50" si="128">$L49*V49</f>
        <v>0</v>
      </c>
      <c r="AF49" s="24"/>
      <c r="AG49" s="24"/>
      <c r="AH49" s="183">
        <f>IF(K49="△不明",0,IF(C49="リスク確認",2*P49,IF(C49="対策確認",1*P49,"ERROR")))</f>
        <v>0</v>
      </c>
      <c r="AI49" s="183">
        <f>IF(K49="△不明",0,IF(C49="リスク確認",2*Q49,IF(C49="対策確認",1*Q49,"ERROR")))</f>
        <v>2</v>
      </c>
      <c r="AJ49" s="24">
        <f t="shared" ref="AJ49:AM52" si="129">S49*$M49</f>
        <v>0</v>
      </c>
      <c r="AK49" s="24">
        <f t="shared" si="129"/>
        <v>0</v>
      </c>
      <c r="AL49" s="24">
        <f t="shared" si="129"/>
        <v>0</v>
      </c>
      <c r="AM49" s="24">
        <f t="shared" si="129"/>
        <v>0</v>
      </c>
      <c r="AN49" s="24"/>
      <c r="AO49" s="24"/>
      <c r="AP49" s="183">
        <f>IF(K49="△不明",0,IF(C49="リスク確認",0*P49,IF(C49="対策確認",-1*P49,"ERROR")))</f>
        <v>0</v>
      </c>
      <c r="AQ49" s="183">
        <f>IF(K49="△不明",0,IF(C49="リスク確認",0*Q49,IF(C49="対策確認",-1*Q49,"ERROR")))</f>
        <v>0</v>
      </c>
      <c r="AR49" s="24"/>
      <c r="AS49" s="24"/>
      <c r="AT49" s="24"/>
      <c r="AU49" s="24"/>
    </row>
    <row r="50" spans="1:48" x14ac:dyDescent="0.4">
      <c r="A50" s="24" t="s">
        <v>511</v>
      </c>
      <c r="B50" s="147" t="s">
        <v>138</v>
      </c>
      <c r="C50" s="26" t="s">
        <v>65</v>
      </c>
      <c r="D50" s="10"/>
      <c r="E50" s="193" t="s">
        <v>459</v>
      </c>
      <c r="F50" s="10" t="s">
        <v>0</v>
      </c>
      <c r="G50" s="10" t="s">
        <v>0</v>
      </c>
      <c r="H50" s="10" t="s">
        <v>0</v>
      </c>
      <c r="I50" s="10" t="s">
        <v>0</v>
      </c>
      <c r="J50" s="10" t="s">
        <v>0</v>
      </c>
      <c r="K50" s="182" t="s">
        <v>70</v>
      </c>
      <c r="L50" s="184">
        <f>IFERROR(VLOOKUP(K50,選択肢リスト!$B$3:$C$6,2,FALSE),M50)</f>
        <v>2</v>
      </c>
      <c r="M50" s="24">
        <v>0</v>
      </c>
      <c r="N50" s="24"/>
      <c r="O50" s="24">
        <v>2</v>
      </c>
      <c r="P50" s="204"/>
      <c r="Q50" s="203">
        <v>2</v>
      </c>
      <c r="R50" s="149" t="str">
        <f t="shared" si="113"/>
        <v>〇</v>
      </c>
      <c r="S50" s="24"/>
      <c r="T50" s="24"/>
      <c r="U50" s="24"/>
      <c r="V50" s="24"/>
      <c r="W50" s="24"/>
      <c r="X50" s="24">
        <f t="shared" si="114"/>
        <v>0</v>
      </c>
      <c r="Y50" s="24">
        <f t="shared" si="122"/>
        <v>4</v>
      </c>
      <c r="Z50" s="184">
        <f t="shared" si="123"/>
        <v>0</v>
      </c>
      <c r="AA50" s="184">
        <f t="shared" si="124"/>
        <v>4</v>
      </c>
      <c r="AB50" s="24">
        <f t="shared" si="125"/>
        <v>0</v>
      </c>
      <c r="AC50" s="24">
        <f t="shared" si="126"/>
        <v>0</v>
      </c>
      <c r="AD50" s="24">
        <f t="shared" si="127"/>
        <v>0</v>
      </c>
      <c r="AE50" s="24">
        <f t="shared" si="128"/>
        <v>0</v>
      </c>
      <c r="AF50" s="24"/>
      <c r="AG50" s="24"/>
      <c r="AH50" s="183">
        <f>IF(K50="△不明",0,IF(C50="リスク確認",2*P50,IF(C50="対策確認",1*P50,"ERROR")))</f>
        <v>0</v>
      </c>
      <c r="AI50" s="183">
        <f>IF(K50="△不明",0,IF(C50="リスク確認",2*Q50,IF(C50="対策確認",1*Q50,"ERROR")))</f>
        <v>4</v>
      </c>
      <c r="AJ50" s="24">
        <f t="shared" si="129"/>
        <v>0</v>
      </c>
      <c r="AK50" s="24">
        <f t="shared" si="129"/>
        <v>0</v>
      </c>
      <c r="AL50" s="24">
        <f t="shared" si="129"/>
        <v>0</v>
      </c>
      <c r="AM50" s="24">
        <f t="shared" si="129"/>
        <v>0</v>
      </c>
      <c r="AN50" s="24"/>
      <c r="AO50" s="24"/>
      <c r="AP50" s="183">
        <f>IF(K50="△不明",0,IF(C50="リスク確認",0*P50,IF(C50="対策確認",-1*P50,"ERROR")))</f>
        <v>0</v>
      </c>
      <c r="AQ50" s="183">
        <f>IF(K50="△不明",0,IF(C50="リスク確認",0*Q50,IF(C50="対策確認",-1*Q50,"ERROR")))</f>
        <v>0</v>
      </c>
      <c r="AR50" s="24"/>
      <c r="AS50" s="24"/>
      <c r="AT50" s="24"/>
      <c r="AU50" s="24"/>
    </row>
    <row r="51" spans="1:48" ht="37.5" x14ac:dyDescent="0.4">
      <c r="A51" s="24" t="s">
        <v>511</v>
      </c>
      <c r="B51" s="147" t="s">
        <v>139</v>
      </c>
      <c r="C51" s="26" t="s">
        <v>65</v>
      </c>
      <c r="D51" s="10"/>
      <c r="E51" s="193" t="s">
        <v>496</v>
      </c>
      <c r="F51" s="10" t="s">
        <v>0</v>
      </c>
      <c r="G51" s="10" t="s">
        <v>0</v>
      </c>
      <c r="H51" s="10" t="s">
        <v>0</v>
      </c>
      <c r="I51" s="10" t="s">
        <v>0</v>
      </c>
      <c r="J51" s="10" t="s">
        <v>0</v>
      </c>
      <c r="K51" s="182" t="s">
        <v>72</v>
      </c>
      <c r="L51" s="184">
        <f>IFERROR(VLOOKUP(K51,選択肢リスト!$B$3:$C$6,2,FALSE),M51)</f>
        <v>0</v>
      </c>
      <c r="M51" s="24">
        <v>0</v>
      </c>
      <c r="N51" s="24"/>
      <c r="O51" s="24">
        <v>10</v>
      </c>
      <c r="P51" s="204"/>
      <c r="Q51" s="203">
        <v>5</v>
      </c>
      <c r="R51" s="149" t="str">
        <f t="shared" si="113"/>
        <v>〇</v>
      </c>
      <c r="S51" s="24"/>
      <c r="T51" s="24"/>
      <c r="U51" s="24"/>
      <c r="V51" s="24"/>
      <c r="W51" s="24"/>
      <c r="X51" s="24">
        <f t="shared" si="114"/>
        <v>0</v>
      </c>
      <c r="Y51" s="24">
        <f t="shared" ref="Y51" si="130">$L51*O51</f>
        <v>0</v>
      </c>
      <c r="Z51" s="184">
        <f t="shared" ref="Z51" si="131">$L51*P51</f>
        <v>0</v>
      </c>
      <c r="AA51" s="184">
        <f t="shared" ref="AA51" si="132">$L51*Q51</f>
        <v>0</v>
      </c>
      <c r="AB51" s="24">
        <f t="shared" ref="AB51" si="133">$L51*S51</f>
        <v>0</v>
      </c>
      <c r="AC51" s="24">
        <f t="shared" ref="AC51" si="134">$L51*T51</f>
        <v>0</v>
      </c>
      <c r="AD51" s="24">
        <f t="shared" ref="AD51" si="135">$L51*U51</f>
        <v>0</v>
      </c>
      <c r="AE51" s="24">
        <f t="shared" ref="AE51" si="136">$L51*V51</f>
        <v>0</v>
      </c>
      <c r="AF51" s="24"/>
      <c r="AG51" s="24"/>
      <c r="AH51" s="183">
        <f>IF(K51="△不明",0,IF(C51="リスク確認",2*P51,IF(C51="対策確認",1*P51,"ERROR")))</f>
        <v>0</v>
      </c>
      <c r="AI51" s="183">
        <f>IF(K51="△不明",0,IF(C51="リスク確認",2*Q51,IF(C51="対策確認",1*Q51,"ERROR")))</f>
        <v>10</v>
      </c>
      <c r="AJ51" s="24">
        <f t="shared" si="129"/>
        <v>0</v>
      </c>
      <c r="AK51" s="24">
        <f t="shared" si="129"/>
        <v>0</v>
      </c>
      <c r="AL51" s="24">
        <f t="shared" si="129"/>
        <v>0</v>
      </c>
      <c r="AM51" s="24">
        <f t="shared" si="129"/>
        <v>0</v>
      </c>
      <c r="AN51" s="24"/>
      <c r="AO51" s="24"/>
      <c r="AP51" s="183">
        <f>IF(K51="△不明",0,IF(C51="リスク確認",0*P51,IF(C51="対策確認",-1*P51,"ERROR")))</f>
        <v>0</v>
      </c>
      <c r="AQ51" s="183">
        <f>IF(K51="△不明",0,IF(C51="リスク確認",0*Q51,IF(C51="対策確認",-1*Q51,"ERROR")))</f>
        <v>0</v>
      </c>
      <c r="AR51" s="24"/>
      <c r="AS51" s="24"/>
      <c r="AT51" s="24"/>
      <c r="AU51" s="24"/>
      <c r="AV51" s="186" t="s">
        <v>604</v>
      </c>
    </row>
    <row r="52" spans="1:48" ht="37.5" x14ac:dyDescent="0.4">
      <c r="A52" s="24" t="s">
        <v>511</v>
      </c>
      <c r="B52" s="147" t="s">
        <v>140</v>
      </c>
      <c r="C52" s="26" t="s">
        <v>65</v>
      </c>
      <c r="D52" s="10"/>
      <c r="E52" s="193" t="s">
        <v>497</v>
      </c>
      <c r="F52" s="10" t="s">
        <v>0</v>
      </c>
      <c r="G52" s="10" t="s">
        <v>0</v>
      </c>
      <c r="H52" s="10" t="s">
        <v>0</v>
      </c>
      <c r="I52" s="10" t="s">
        <v>0</v>
      </c>
      <c r="J52" s="10" t="s">
        <v>0</v>
      </c>
      <c r="K52" s="182" t="s">
        <v>72</v>
      </c>
      <c r="L52" s="184">
        <f>IFERROR(VLOOKUP(K52,選択肢リスト!$B$3:$C$6,2,FALSE),M52)</f>
        <v>0</v>
      </c>
      <c r="M52" s="24">
        <v>0</v>
      </c>
      <c r="N52" s="24">
        <v>1</v>
      </c>
      <c r="O52" s="24"/>
      <c r="P52" s="204"/>
      <c r="Q52" s="203">
        <v>2</v>
      </c>
      <c r="R52" s="149" t="str">
        <f t="shared" si="113"/>
        <v>〇</v>
      </c>
      <c r="S52" s="24"/>
      <c r="T52" s="24"/>
      <c r="U52" s="24"/>
      <c r="V52" s="24"/>
      <c r="W52" s="24"/>
      <c r="X52" s="24">
        <f t="shared" ref="X52" si="137">$L52*N52</f>
        <v>0</v>
      </c>
      <c r="Y52" s="24">
        <f t="shared" ref="Y52" si="138">$L52*O52</f>
        <v>0</v>
      </c>
      <c r="Z52" s="184">
        <f t="shared" ref="Z52" si="139">$L52*P52</f>
        <v>0</v>
      </c>
      <c r="AA52" s="184">
        <f t="shared" ref="AA52" si="140">$L52*Q52</f>
        <v>0</v>
      </c>
      <c r="AB52" s="24">
        <f t="shared" ref="AB52" si="141">$L52*S52</f>
        <v>0</v>
      </c>
      <c r="AC52" s="24">
        <f t="shared" ref="AC52" si="142">$L52*T52</f>
        <v>0</v>
      </c>
      <c r="AD52" s="24">
        <f t="shared" ref="AD52" si="143">$L52*U52</f>
        <v>0</v>
      </c>
      <c r="AE52" s="24">
        <f t="shared" ref="AE52" si="144">$L52*V52</f>
        <v>0</v>
      </c>
      <c r="AF52" s="24"/>
      <c r="AG52" s="24"/>
      <c r="AH52" s="226" t="s">
        <v>498</v>
      </c>
      <c r="AI52" s="227"/>
      <c r="AJ52" s="24">
        <f t="shared" si="129"/>
        <v>0</v>
      </c>
      <c r="AK52" s="24">
        <f t="shared" si="129"/>
        <v>0</v>
      </c>
      <c r="AL52" s="24">
        <f t="shared" si="129"/>
        <v>0</v>
      </c>
      <c r="AM52" s="24">
        <f t="shared" si="129"/>
        <v>0</v>
      </c>
      <c r="AN52" s="24"/>
      <c r="AO52" s="24"/>
      <c r="AP52" s="226" t="s">
        <v>499</v>
      </c>
      <c r="AQ52" s="227"/>
      <c r="AR52" s="24"/>
      <c r="AS52" s="24"/>
      <c r="AT52" s="24"/>
      <c r="AU52" s="24"/>
      <c r="AV52" s="186" t="s">
        <v>604</v>
      </c>
    </row>
    <row r="53" spans="1:48" x14ac:dyDescent="0.4">
      <c r="A53" s="24" t="s">
        <v>511</v>
      </c>
      <c r="B53" s="10"/>
      <c r="C53" s="29" t="s">
        <v>66</v>
      </c>
      <c r="D53" s="10"/>
      <c r="E53" s="25" t="s">
        <v>129</v>
      </c>
      <c r="F53" s="10" t="s">
        <v>0</v>
      </c>
      <c r="G53" s="10" t="s">
        <v>0</v>
      </c>
      <c r="H53" s="10" t="s">
        <v>0</v>
      </c>
      <c r="I53" s="10" t="s">
        <v>0</v>
      </c>
      <c r="J53" s="10" t="s">
        <v>0</v>
      </c>
      <c r="K53" s="27" t="e">
        <f>IF(#REF!="","",#REF!)</f>
        <v>#REF!</v>
      </c>
      <c r="L53" s="28">
        <f>IFERROR(VLOOKUP(K53,選択肢リスト!$F$3:$G$7,2,FALSE),M53)</f>
        <v>0</v>
      </c>
      <c r="M53" s="24">
        <v>0</v>
      </c>
      <c r="N53" s="24">
        <v>1</v>
      </c>
      <c r="O53" s="24"/>
      <c r="P53" s="24"/>
      <c r="Q53" s="24"/>
      <c r="R53" s="149" t="str">
        <f t="shared" si="113"/>
        <v/>
      </c>
      <c r="S53" s="24"/>
      <c r="T53" s="24"/>
      <c r="U53" s="24"/>
      <c r="V53" s="24"/>
      <c r="W53" s="24"/>
      <c r="X53" s="24">
        <f t="shared" ref="X53" si="145">$L53*N53</f>
        <v>0</v>
      </c>
      <c r="Y53" s="24">
        <f t="shared" ref="Y53" si="146">$L53*O53</f>
        <v>0</v>
      </c>
      <c r="Z53" s="28">
        <f t="shared" ref="Z53" si="147">$L53*P53</f>
        <v>0</v>
      </c>
      <c r="AA53" s="28">
        <f t="shared" ref="AA53" si="148">$L53*Q53</f>
        <v>0</v>
      </c>
      <c r="AB53" s="24">
        <f t="shared" ref="AB53" si="149">$L53*S53</f>
        <v>0</v>
      </c>
      <c r="AC53" s="24">
        <f t="shared" ref="AC53" si="150">$L53*T53</f>
        <v>0</v>
      </c>
      <c r="AD53" s="24">
        <f t="shared" ref="AD53" si="151">$L53*U53</f>
        <v>0</v>
      </c>
      <c r="AE53" s="24">
        <f t="shared" ref="AE53" si="152">$L53*V53</f>
        <v>0</v>
      </c>
      <c r="AF53" s="24"/>
      <c r="AG53" s="24"/>
      <c r="AH53" s="28"/>
      <c r="AI53" s="28"/>
      <c r="AJ53" s="24"/>
      <c r="AK53" s="24"/>
      <c r="AL53" s="24"/>
      <c r="AM53" s="24"/>
      <c r="AN53" s="24"/>
      <c r="AO53" s="24"/>
      <c r="AP53" s="28"/>
      <c r="AQ53" s="28"/>
      <c r="AR53" s="24"/>
      <c r="AS53" s="24"/>
      <c r="AT53" s="24"/>
      <c r="AU53" s="24"/>
      <c r="AV53" s="189"/>
    </row>
    <row r="54" spans="1:48" x14ac:dyDescent="0.4">
      <c r="A54" s="24" t="s">
        <v>511</v>
      </c>
      <c r="B54" s="10"/>
      <c r="C54" s="29" t="s">
        <v>66</v>
      </c>
      <c r="D54" s="10"/>
      <c r="E54" s="25" t="s">
        <v>128</v>
      </c>
      <c r="F54" s="10" t="s">
        <v>0</v>
      </c>
      <c r="G54" s="10" t="s">
        <v>0</v>
      </c>
      <c r="H54" s="10" t="s">
        <v>0</v>
      </c>
      <c r="I54" s="10" t="s">
        <v>0</v>
      </c>
      <c r="J54" s="10" t="s">
        <v>0</v>
      </c>
      <c r="K54" s="27" t="e">
        <f>IF(#REF!="","",#REF!)</f>
        <v>#REF!</v>
      </c>
      <c r="L54" s="28">
        <f>IFERROR(VLOOKUP(K54,選択肢リスト!$F$3:$G$7,2,FALSE),M54)</f>
        <v>0</v>
      </c>
      <c r="M54" s="24">
        <v>0</v>
      </c>
      <c r="N54" s="24">
        <v>1</v>
      </c>
      <c r="O54" s="24"/>
      <c r="P54" s="24"/>
      <c r="Q54" s="24"/>
      <c r="R54" s="149" t="str">
        <f t="shared" si="113"/>
        <v/>
      </c>
      <c r="S54" s="24"/>
      <c r="T54" s="24"/>
      <c r="U54" s="24"/>
      <c r="V54" s="24"/>
      <c r="W54" s="24"/>
      <c r="X54" s="24">
        <f t="shared" ref="X54" si="153">$L54*N54</f>
        <v>0</v>
      </c>
      <c r="Y54" s="24">
        <f t="shared" ref="Y54" si="154">$L54*O54</f>
        <v>0</v>
      </c>
      <c r="Z54" s="28">
        <f t="shared" ref="Z54" si="155">$L54*P54</f>
        <v>0</v>
      </c>
      <c r="AA54" s="28">
        <f t="shared" ref="AA54" si="156">$L54*Q54</f>
        <v>0</v>
      </c>
      <c r="AB54" s="24">
        <f t="shared" ref="AB54" si="157">$L54*S54</f>
        <v>0</v>
      </c>
      <c r="AC54" s="24">
        <f t="shared" ref="AC54" si="158">$L54*T54</f>
        <v>0</v>
      </c>
      <c r="AD54" s="24">
        <f t="shared" ref="AD54" si="159">$L54*U54</f>
        <v>0</v>
      </c>
      <c r="AE54" s="24">
        <f t="shared" ref="AE54" si="160">$L54*V54</f>
        <v>0</v>
      </c>
      <c r="AF54" s="24"/>
      <c r="AG54" s="24"/>
      <c r="AH54" s="28"/>
      <c r="AI54" s="28"/>
      <c r="AJ54" s="24"/>
      <c r="AK54" s="24"/>
      <c r="AL54" s="24"/>
      <c r="AM54" s="24"/>
      <c r="AN54" s="24"/>
      <c r="AO54" s="24"/>
      <c r="AP54" s="28"/>
      <c r="AQ54" s="28"/>
      <c r="AR54" s="24"/>
      <c r="AS54" s="24"/>
      <c r="AT54" s="24"/>
      <c r="AU54" s="24"/>
      <c r="AV54" s="189"/>
    </row>
    <row r="55" spans="1:48" x14ac:dyDescent="0.4">
      <c r="A55" s="24" t="s">
        <v>511</v>
      </c>
      <c r="B55" s="145" t="s">
        <v>141</v>
      </c>
      <c r="C55" s="29" t="s">
        <v>66</v>
      </c>
      <c r="D55" s="10"/>
      <c r="E55" s="197" t="s">
        <v>463</v>
      </c>
      <c r="F55" s="10" t="s">
        <v>0</v>
      </c>
      <c r="G55" s="10" t="s">
        <v>0</v>
      </c>
      <c r="H55" s="10" t="s">
        <v>0</v>
      </c>
      <c r="I55" s="10" t="s">
        <v>0</v>
      </c>
      <c r="J55" s="10" t="s">
        <v>0</v>
      </c>
      <c r="K55" s="27" t="s">
        <v>91</v>
      </c>
      <c r="L55" s="28">
        <f>IFERROR(VLOOKUP(K55,選択肢リスト!$F$3:$G$7,2,FALSE),M55)</f>
        <v>1</v>
      </c>
      <c r="M55" s="24">
        <v>0</v>
      </c>
      <c r="N55" s="24"/>
      <c r="O55" s="24">
        <v>1</v>
      </c>
      <c r="P55" s="204"/>
      <c r="Q55" s="205">
        <v>1</v>
      </c>
      <c r="R55" s="149" t="str">
        <f t="shared" si="113"/>
        <v>〇</v>
      </c>
      <c r="S55" s="24"/>
      <c r="T55" s="24"/>
      <c r="U55" s="24"/>
      <c r="V55" s="24"/>
      <c r="W55" s="24"/>
      <c r="X55" s="24">
        <f t="shared" ref="X55:X56" si="161">$L55*N55</f>
        <v>0</v>
      </c>
      <c r="Y55" s="24">
        <f t="shared" ref="Y55:Y56" si="162">$L55*O55</f>
        <v>1</v>
      </c>
      <c r="Z55" s="28">
        <f t="shared" ref="Z55:Z56" si="163">$L55*P55</f>
        <v>0</v>
      </c>
      <c r="AA55" s="28">
        <f t="shared" ref="AA55:AA56" si="164">$L55*Q55</f>
        <v>1</v>
      </c>
      <c r="AB55" s="24">
        <f t="shared" ref="AB55:AB56" si="165">$L55*S55</f>
        <v>0</v>
      </c>
      <c r="AC55" s="24">
        <f t="shared" ref="AC55:AC56" si="166">$L55*T55</f>
        <v>0</v>
      </c>
      <c r="AD55" s="24">
        <f t="shared" ref="AD55:AD56" si="167">$L55*U55</f>
        <v>0</v>
      </c>
      <c r="AE55" s="24">
        <f t="shared" ref="AE55:AE56" si="168">$L55*V55</f>
        <v>0</v>
      </c>
      <c r="AF55" s="24"/>
      <c r="AG55" s="24"/>
      <c r="AH55" s="28">
        <f>IF(K55="□不要、対象外",0,IF(C55="リスク確認",2*P55,IF(C55="対策確認",1*P55,"ERROR")))</f>
        <v>0</v>
      </c>
      <c r="AI55" s="28">
        <f>IF(K55="□不要、対象外",0,IF(C55="リスク確認",2*Q55,IF(C55="対策確認",1*Q55,"ERROR")))</f>
        <v>1</v>
      </c>
      <c r="AJ55" s="24">
        <f t="shared" ref="AJ55:AM56" si="169">S55*$M55</f>
        <v>0</v>
      </c>
      <c r="AK55" s="24">
        <f t="shared" si="169"/>
        <v>0</v>
      </c>
      <c r="AL55" s="24">
        <f t="shared" si="169"/>
        <v>0</v>
      </c>
      <c r="AM55" s="24">
        <f t="shared" si="169"/>
        <v>0</v>
      </c>
      <c r="AN55" s="24"/>
      <c r="AO55" s="24"/>
      <c r="AP55" s="28">
        <f>IF(K55="□不要、対象外",0,IF(C55="リスク確認",0*P55,IF(C55="対策確認",-1*P55,"ERROR")))</f>
        <v>0</v>
      </c>
      <c r="AQ55" s="28">
        <f>IF(K55="□不要、対象外",0,IF(C55="リスク確認",0*Q55,IF(C55="対策確認",-1*Q55,"ERROR")))</f>
        <v>-1</v>
      </c>
      <c r="AR55" s="24"/>
      <c r="AS55" s="24"/>
      <c r="AT55" s="24"/>
      <c r="AU55" s="24"/>
    </row>
    <row r="56" spans="1:48" x14ac:dyDescent="0.4">
      <c r="A56" s="24" t="s">
        <v>511</v>
      </c>
      <c r="B56" s="145" t="s">
        <v>142</v>
      </c>
      <c r="C56" s="29" t="s">
        <v>66</v>
      </c>
      <c r="D56" s="10"/>
      <c r="E56" s="197" t="s">
        <v>469</v>
      </c>
      <c r="F56" s="10" t="s">
        <v>0</v>
      </c>
      <c r="G56" s="10" t="s">
        <v>0</v>
      </c>
      <c r="H56" s="10" t="s">
        <v>0</v>
      </c>
      <c r="I56" s="10" t="s">
        <v>0</v>
      </c>
      <c r="J56" s="10" t="s">
        <v>0</v>
      </c>
      <c r="K56" s="27" t="s">
        <v>91</v>
      </c>
      <c r="L56" s="28">
        <f>IFERROR(VLOOKUP(K56,選択肢リスト!$F$3:$G$7,2,FALSE),M56)</f>
        <v>1</v>
      </c>
      <c r="M56" s="24">
        <v>0</v>
      </c>
      <c r="N56" s="24"/>
      <c r="O56" s="24">
        <v>1</v>
      </c>
      <c r="P56" s="204"/>
      <c r="Q56" s="205">
        <v>1</v>
      </c>
      <c r="R56" s="149" t="str">
        <f t="shared" si="113"/>
        <v>〇</v>
      </c>
      <c r="S56" s="24"/>
      <c r="T56" s="24"/>
      <c r="U56" s="24"/>
      <c r="V56" s="24"/>
      <c r="W56" s="24"/>
      <c r="X56" s="24">
        <f t="shared" si="161"/>
        <v>0</v>
      </c>
      <c r="Y56" s="24">
        <f t="shared" si="162"/>
        <v>1</v>
      </c>
      <c r="Z56" s="28">
        <f t="shared" si="163"/>
        <v>0</v>
      </c>
      <c r="AA56" s="28">
        <f t="shared" si="164"/>
        <v>1</v>
      </c>
      <c r="AB56" s="24">
        <f t="shared" si="165"/>
        <v>0</v>
      </c>
      <c r="AC56" s="24">
        <f t="shared" si="166"/>
        <v>0</v>
      </c>
      <c r="AD56" s="24">
        <f t="shared" si="167"/>
        <v>0</v>
      </c>
      <c r="AE56" s="24">
        <f t="shared" si="168"/>
        <v>0</v>
      </c>
      <c r="AF56" s="24"/>
      <c r="AG56" s="24"/>
      <c r="AH56" s="28">
        <f>IF(K56="□不要、対象外",0,IF(C56="リスク確認",2*P56,IF(C56="対策確認",1*P56,"ERROR")))</f>
        <v>0</v>
      </c>
      <c r="AI56" s="28">
        <f>IF(K56="□不要、対象外",0,IF(C56="リスク確認",2*Q56,IF(C56="対策確認",1*Q56,"ERROR")))</f>
        <v>1</v>
      </c>
      <c r="AJ56" s="24">
        <f t="shared" si="169"/>
        <v>0</v>
      </c>
      <c r="AK56" s="24">
        <f t="shared" si="169"/>
        <v>0</v>
      </c>
      <c r="AL56" s="24">
        <f t="shared" si="169"/>
        <v>0</v>
      </c>
      <c r="AM56" s="24">
        <f t="shared" si="169"/>
        <v>0</v>
      </c>
      <c r="AN56" s="24"/>
      <c r="AO56" s="24"/>
      <c r="AP56" s="28">
        <f>IF(K56="□不要、対象外",0,IF(C56="リスク確認",0*P56,IF(C56="対策確認",-1*P56,"ERROR")))</f>
        <v>0</v>
      </c>
      <c r="AQ56" s="28">
        <f>IF(K56="□不要、対象外",0,IF(C56="リスク確認",0*Q56,IF(C56="対策確認",-1*Q56,"ERROR")))</f>
        <v>-1</v>
      </c>
      <c r="AR56" s="24"/>
      <c r="AS56" s="24"/>
      <c r="AT56" s="24"/>
      <c r="AU56" s="24"/>
    </row>
    <row r="57" spans="1:48" x14ac:dyDescent="0.4">
      <c r="A57" s="24" t="s">
        <v>511</v>
      </c>
      <c r="B57" s="10"/>
      <c r="C57" s="29" t="s">
        <v>66</v>
      </c>
      <c r="D57" s="10"/>
      <c r="E57" s="25" t="s">
        <v>122</v>
      </c>
      <c r="F57" s="10" t="s">
        <v>0</v>
      </c>
      <c r="G57" s="10"/>
      <c r="H57" s="10" t="s">
        <v>0</v>
      </c>
      <c r="I57" s="10" t="s">
        <v>0</v>
      </c>
      <c r="J57" s="10" t="s">
        <v>0</v>
      </c>
      <c r="K57" s="27" t="e">
        <f>IF(#REF!="","",#REF!)</f>
        <v>#REF!</v>
      </c>
      <c r="L57" s="28">
        <f>IFERROR(VLOOKUP(K57,選択肢リスト!$F$3:$G$7,2,FALSE),M57)</f>
        <v>0</v>
      </c>
      <c r="M57" s="24">
        <v>0</v>
      </c>
      <c r="N57" s="24">
        <v>1</v>
      </c>
      <c r="O57" s="24"/>
      <c r="P57" s="24"/>
      <c r="Q57" s="24"/>
      <c r="R57" s="149" t="str">
        <f>IF(AND(P57="",Q57=""),"","〇")</f>
        <v/>
      </c>
      <c r="S57" s="24"/>
      <c r="T57" s="24"/>
      <c r="U57" s="24"/>
      <c r="V57" s="24"/>
      <c r="W57" s="24"/>
      <c r="X57" s="24">
        <v>1</v>
      </c>
      <c r="Y57" s="24">
        <f t="shared" ref="Y57:AA59" si="170">$L57*O57</f>
        <v>0</v>
      </c>
      <c r="Z57" s="28">
        <f t="shared" si="170"/>
        <v>0</v>
      </c>
      <c r="AA57" s="28">
        <f t="shared" si="170"/>
        <v>0</v>
      </c>
      <c r="AB57" s="24">
        <f t="shared" ref="AB57:AE59" si="171">$L57*S57</f>
        <v>0</v>
      </c>
      <c r="AC57" s="24">
        <f t="shared" si="171"/>
        <v>0</v>
      </c>
      <c r="AD57" s="24">
        <f t="shared" si="171"/>
        <v>0</v>
      </c>
      <c r="AE57" s="24">
        <f t="shared" si="171"/>
        <v>0</v>
      </c>
      <c r="AF57" s="24"/>
      <c r="AG57" s="24"/>
      <c r="AH57" s="28"/>
      <c r="AI57" s="28"/>
      <c r="AJ57" s="24"/>
      <c r="AK57" s="24"/>
      <c r="AL57" s="24"/>
      <c r="AM57" s="24"/>
      <c r="AN57" s="24"/>
      <c r="AO57" s="24"/>
      <c r="AP57" s="28"/>
      <c r="AQ57" s="28"/>
      <c r="AR57" s="24"/>
      <c r="AS57" s="24"/>
      <c r="AT57" s="24"/>
      <c r="AU57" s="24"/>
      <c r="AV57" s="189"/>
    </row>
    <row r="58" spans="1:48" x14ac:dyDescent="0.4">
      <c r="A58" s="24" t="s">
        <v>511</v>
      </c>
      <c r="B58" s="10"/>
      <c r="C58" s="29" t="s">
        <v>66</v>
      </c>
      <c r="D58" s="10"/>
      <c r="E58" s="25" t="s">
        <v>123</v>
      </c>
      <c r="F58" s="10" t="s">
        <v>0</v>
      </c>
      <c r="G58" s="10"/>
      <c r="H58" s="10" t="s">
        <v>0</v>
      </c>
      <c r="I58" s="10" t="s">
        <v>0</v>
      </c>
      <c r="J58" s="10" t="s">
        <v>0</v>
      </c>
      <c r="K58" s="27" t="e">
        <f>IF(#REF!="","",#REF!)</f>
        <v>#REF!</v>
      </c>
      <c r="L58" s="28">
        <f>IFERROR(VLOOKUP(K58,選択肢リスト!$F$3:$G$7,2,FALSE),M58)</f>
        <v>0</v>
      </c>
      <c r="M58" s="24">
        <v>0</v>
      </c>
      <c r="N58" s="24">
        <v>1</v>
      </c>
      <c r="O58" s="24"/>
      <c r="P58" s="24"/>
      <c r="Q58" s="24"/>
      <c r="R58" s="149" t="str">
        <f>IF(AND(P58="",Q58=""),"","〇")</f>
        <v/>
      </c>
      <c r="S58" s="24"/>
      <c r="T58" s="24"/>
      <c r="U58" s="24"/>
      <c r="V58" s="24"/>
      <c r="W58" s="24"/>
      <c r="X58" s="24">
        <v>1</v>
      </c>
      <c r="Y58" s="24">
        <f t="shared" si="170"/>
        <v>0</v>
      </c>
      <c r="Z58" s="28">
        <f t="shared" si="170"/>
        <v>0</v>
      </c>
      <c r="AA58" s="28">
        <f t="shared" si="170"/>
        <v>0</v>
      </c>
      <c r="AB58" s="24">
        <f t="shared" si="171"/>
        <v>0</v>
      </c>
      <c r="AC58" s="24">
        <f t="shared" si="171"/>
        <v>0</v>
      </c>
      <c r="AD58" s="24">
        <f t="shared" si="171"/>
        <v>0</v>
      </c>
      <c r="AE58" s="24">
        <f t="shared" si="171"/>
        <v>0</v>
      </c>
      <c r="AF58" s="24"/>
      <c r="AG58" s="24"/>
      <c r="AH58" s="28"/>
      <c r="AI58" s="28"/>
      <c r="AJ58" s="24"/>
      <c r="AK58" s="24"/>
      <c r="AL58" s="24"/>
      <c r="AM58" s="24"/>
      <c r="AN58" s="24"/>
      <c r="AO58" s="24"/>
      <c r="AP58" s="28"/>
      <c r="AQ58" s="28"/>
      <c r="AR58" s="24"/>
      <c r="AS58" s="24"/>
      <c r="AT58" s="24"/>
      <c r="AU58" s="24"/>
      <c r="AV58" s="189"/>
    </row>
    <row r="59" spans="1:48" x14ac:dyDescent="0.4">
      <c r="A59" s="24" t="s">
        <v>511</v>
      </c>
      <c r="B59" s="10"/>
      <c r="C59" s="29" t="s">
        <v>66</v>
      </c>
      <c r="D59" s="10"/>
      <c r="E59" s="25" t="s">
        <v>124</v>
      </c>
      <c r="F59" s="10" t="s">
        <v>0</v>
      </c>
      <c r="G59" s="10"/>
      <c r="H59" s="10" t="s">
        <v>0</v>
      </c>
      <c r="I59" s="10" t="s">
        <v>0</v>
      </c>
      <c r="J59" s="10" t="s">
        <v>0</v>
      </c>
      <c r="K59" s="27" t="e">
        <f>IF(#REF!="","",#REF!)</f>
        <v>#REF!</v>
      </c>
      <c r="L59" s="28">
        <f>IFERROR(VLOOKUP(K59,選択肢リスト!$F$3:$G$7,2,FALSE),M59)</f>
        <v>0</v>
      </c>
      <c r="M59" s="24">
        <v>0</v>
      </c>
      <c r="N59" s="24">
        <v>1</v>
      </c>
      <c r="O59" s="24"/>
      <c r="P59" s="24"/>
      <c r="Q59" s="24"/>
      <c r="R59" s="149" t="str">
        <f>IF(AND(P59="",Q59=""),"","〇")</f>
        <v/>
      </c>
      <c r="S59" s="24"/>
      <c r="T59" s="24"/>
      <c r="U59" s="24"/>
      <c r="V59" s="24"/>
      <c r="W59" s="24"/>
      <c r="X59" s="24">
        <f>$L59*N59</f>
        <v>0</v>
      </c>
      <c r="Y59" s="24">
        <f t="shared" si="170"/>
        <v>0</v>
      </c>
      <c r="Z59" s="28">
        <f t="shared" si="170"/>
        <v>0</v>
      </c>
      <c r="AA59" s="28">
        <f t="shared" si="170"/>
        <v>0</v>
      </c>
      <c r="AB59" s="24">
        <f t="shared" si="171"/>
        <v>0</v>
      </c>
      <c r="AC59" s="24">
        <f t="shared" si="171"/>
        <v>0</v>
      </c>
      <c r="AD59" s="24">
        <f t="shared" si="171"/>
        <v>0</v>
      </c>
      <c r="AE59" s="24">
        <f t="shared" si="171"/>
        <v>0</v>
      </c>
      <c r="AF59" s="24"/>
      <c r="AG59" s="24"/>
      <c r="AH59" s="28"/>
      <c r="AI59" s="28"/>
      <c r="AJ59" s="24"/>
      <c r="AK59" s="24"/>
      <c r="AL59" s="24"/>
      <c r="AM59" s="24"/>
      <c r="AN59" s="24"/>
      <c r="AO59" s="24"/>
      <c r="AP59" s="28"/>
      <c r="AQ59" s="28"/>
      <c r="AR59" s="24"/>
      <c r="AS59" s="24"/>
      <c r="AT59" s="24"/>
      <c r="AU59" s="24"/>
      <c r="AV59" s="189"/>
    </row>
    <row r="60" spans="1:48" x14ac:dyDescent="0.4">
      <c r="A60" s="24" t="s">
        <v>511</v>
      </c>
      <c r="B60" s="147" t="s">
        <v>143</v>
      </c>
      <c r="C60" s="26" t="s">
        <v>65</v>
      </c>
      <c r="D60" s="10"/>
      <c r="E60" s="193" t="s">
        <v>464</v>
      </c>
      <c r="F60" s="10" t="s">
        <v>0</v>
      </c>
      <c r="G60" s="10"/>
      <c r="H60" s="10" t="s">
        <v>0</v>
      </c>
      <c r="I60" s="10" t="s">
        <v>0</v>
      </c>
      <c r="J60" s="10" t="s">
        <v>0</v>
      </c>
      <c r="K60" s="182" t="s">
        <v>70</v>
      </c>
      <c r="L60" s="184">
        <f>IFERROR(VLOOKUP(K60,選択肢リスト!$B$3:$C$6,2,FALSE),M60)</f>
        <v>2</v>
      </c>
      <c r="M60" s="24">
        <v>0</v>
      </c>
      <c r="N60" s="24"/>
      <c r="O60" s="24">
        <v>1</v>
      </c>
      <c r="P60" s="204"/>
      <c r="Q60" s="203">
        <v>1</v>
      </c>
      <c r="R60" s="149" t="str">
        <f t="shared" ref="R60:R65" si="172">IF(AND(P60="",Q60=""),"","〇")</f>
        <v>〇</v>
      </c>
      <c r="S60" s="24"/>
      <c r="T60" s="24"/>
      <c r="U60" s="24"/>
      <c r="V60" s="24"/>
      <c r="W60" s="24"/>
      <c r="X60" s="24">
        <f>$L60*N60</f>
        <v>0</v>
      </c>
      <c r="Y60" s="24">
        <f t="shared" ref="Y60:Y65" si="173">$L60*O60</f>
        <v>2</v>
      </c>
      <c r="Z60" s="184">
        <f t="shared" ref="Z60:Z65" si="174">$L60*P60</f>
        <v>0</v>
      </c>
      <c r="AA60" s="184">
        <f t="shared" ref="AA60:AA65" si="175">$L60*Q60</f>
        <v>2</v>
      </c>
      <c r="AB60" s="24">
        <f t="shared" ref="AB60:AB65" si="176">$L60*S60</f>
        <v>0</v>
      </c>
      <c r="AC60" s="24">
        <f t="shared" ref="AC60:AC65" si="177">$L60*T60</f>
        <v>0</v>
      </c>
      <c r="AD60" s="24">
        <f t="shared" ref="AD60:AD65" si="178">$L60*U60</f>
        <v>0</v>
      </c>
      <c r="AE60" s="24">
        <f t="shared" ref="AE60:AE65" si="179">$L60*V60</f>
        <v>0</v>
      </c>
      <c r="AF60" s="24"/>
      <c r="AG60" s="24"/>
      <c r="AH60" s="183">
        <f>IF(K60="△不明",0,IF(C60="リスク確認",2*P60,IF(C60="対策確認",1*P60,"ERROR")))</f>
        <v>0</v>
      </c>
      <c r="AI60" s="183">
        <f>IF(K60="△不明",0,IF(C60="リスク確認",2*Q60,IF(C60="対策確認",1*Q60,"ERROR")))</f>
        <v>2</v>
      </c>
      <c r="AJ60" s="24">
        <f t="shared" ref="AJ60:AM65" si="180">S60*$M60</f>
        <v>0</v>
      </c>
      <c r="AK60" s="24">
        <f t="shared" si="180"/>
        <v>0</v>
      </c>
      <c r="AL60" s="24">
        <f t="shared" si="180"/>
        <v>0</v>
      </c>
      <c r="AM60" s="24">
        <f t="shared" si="180"/>
        <v>0</v>
      </c>
      <c r="AN60" s="24"/>
      <c r="AO60" s="24"/>
      <c r="AP60" s="183">
        <f>IF(K60="△不明",0,IF(C60="リスク確認",0*P60,IF(C60="対策確認",-1*P60,"ERROR")))</f>
        <v>0</v>
      </c>
      <c r="AQ60" s="183">
        <f>IF(K60="△不明",0,IF(C60="リスク確認",0*Q60,IF(C60="対策確認",-1*Q60,"ERROR")))</f>
        <v>0</v>
      </c>
      <c r="AR60" s="24"/>
      <c r="AS60" s="24"/>
      <c r="AT60" s="24"/>
      <c r="AU60" s="24"/>
    </row>
    <row r="61" spans="1:48" x14ac:dyDescent="0.4">
      <c r="A61" s="24" t="s">
        <v>511</v>
      </c>
      <c r="B61" s="147" t="s">
        <v>144</v>
      </c>
      <c r="C61" s="29" t="s">
        <v>66</v>
      </c>
      <c r="D61" s="10"/>
      <c r="E61" s="197" t="s">
        <v>133</v>
      </c>
      <c r="F61" s="10" t="s">
        <v>0</v>
      </c>
      <c r="G61" s="10" t="s">
        <v>0</v>
      </c>
      <c r="H61" s="10" t="s">
        <v>0</v>
      </c>
      <c r="I61" s="10" t="s">
        <v>0</v>
      </c>
      <c r="J61" s="10" t="s">
        <v>0</v>
      </c>
      <c r="K61" s="27" t="s">
        <v>89</v>
      </c>
      <c r="L61" s="28">
        <f>IFERROR(VLOOKUP(K61,選択肢リスト!$F$3:$G$7,2,FALSE),M61)</f>
        <v>-1</v>
      </c>
      <c r="M61" s="24">
        <v>0</v>
      </c>
      <c r="N61" s="24"/>
      <c r="O61" s="24"/>
      <c r="P61" s="204"/>
      <c r="Q61" s="205">
        <v>1</v>
      </c>
      <c r="R61" s="149" t="str">
        <f t="shared" si="172"/>
        <v>〇</v>
      </c>
      <c r="S61" s="24"/>
      <c r="T61" s="24"/>
      <c r="U61" s="24"/>
      <c r="V61" s="24"/>
      <c r="W61" s="24"/>
      <c r="X61" s="24">
        <f t="shared" ref="X61:X65" si="181">$L61*N61</f>
        <v>0</v>
      </c>
      <c r="Y61" s="24">
        <f t="shared" si="173"/>
        <v>0</v>
      </c>
      <c r="Z61" s="28">
        <f t="shared" si="174"/>
        <v>0</v>
      </c>
      <c r="AA61" s="28">
        <f t="shared" si="175"/>
        <v>-1</v>
      </c>
      <c r="AB61" s="24">
        <f t="shared" si="176"/>
        <v>0</v>
      </c>
      <c r="AC61" s="24">
        <f t="shared" si="177"/>
        <v>0</v>
      </c>
      <c r="AD61" s="24">
        <f t="shared" si="178"/>
        <v>0</v>
      </c>
      <c r="AE61" s="24">
        <f t="shared" si="179"/>
        <v>0</v>
      </c>
      <c r="AF61" s="24"/>
      <c r="AG61" s="24"/>
      <c r="AH61" s="28">
        <f>IF(K61="□不要、対象外",0,IF(C61="リスク確認",2*P61,IF(C61="対策確認",1*P61,"ERROR")))</f>
        <v>0</v>
      </c>
      <c r="AI61" s="28">
        <f>IF(K61="□不要、対象外",0,IF(C61="リスク確認",2*Q61,IF(C61="対策確認",1*Q61,"ERROR")))</f>
        <v>1</v>
      </c>
      <c r="AJ61" s="24">
        <f t="shared" si="180"/>
        <v>0</v>
      </c>
      <c r="AK61" s="24">
        <f t="shared" si="180"/>
        <v>0</v>
      </c>
      <c r="AL61" s="24">
        <f t="shared" si="180"/>
        <v>0</v>
      </c>
      <c r="AM61" s="24">
        <f t="shared" si="180"/>
        <v>0</v>
      </c>
      <c r="AN61" s="24"/>
      <c r="AO61" s="24"/>
      <c r="AP61" s="28">
        <f>IF(K61="□不要、対象外",0,IF(C61="リスク確認",0*P61,IF(C61="対策確認",-1*P61,"ERROR")))</f>
        <v>0</v>
      </c>
      <c r="AQ61" s="28">
        <f>IF(K61="□不要、対象外",0,IF(C61="リスク確認",0*Q61,IF(C61="対策確認",-1*Q61,"ERROR")))</f>
        <v>-1</v>
      </c>
      <c r="AR61" s="24"/>
      <c r="AS61" s="24"/>
      <c r="AT61" s="24"/>
      <c r="AU61" s="24"/>
    </row>
    <row r="62" spans="1:48" x14ac:dyDescent="0.4">
      <c r="A62" s="24" t="s">
        <v>511</v>
      </c>
      <c r="B62" s="147" t="s">
        <v>145</v>
      </c>
      <c r="C62" s="26" t="s">
        <v>65</v>
      </c>
      <c r="D62" s="10"/>
      <c r="E62" s="193" t="s">
        <v>473</v>
      </c>
      <c r="F62" s="10" t="s">
        <v>0</v>
      </c>
      <c r="G62" s="10"/>
      <c r="H62" s="10" t="s">
        <v>0</v>
      </c>
      <c r="I62" s="10" t="s">
        <v>0</v>
      </c>
      <c r="J62" s="10" t="s">
        <v>0</v>
      </c>
      <c r="K62" s="182" t="s">
        <v>70</v>
      </c>
      <c r="L62" s="184">
        <f>IFERROR(VLOOKUP(K62,選択肢リスト!$B$3:$C$6,2,FALSE),M62)</f>
        <v>2</v>
      </c>
      <c r="M62" s="24">
        <v>0</v>
      </c>
      <c r="N62" s="24">
        <v>1</v>
      </c>
      <c r="O62" s="24"/>
      <c r="P62" s="204"/>
      <c r="Q62" s="203">
        <v>1</v>
      </c>
      <c r="R62" s="149" t="str">
        <f t="shared" si="172"/>
        <v>〇</v>
      </c>
      <c r="S62" s="24"/>
      <c r="T62" s="24"/>
      <c r="U62" s="24"/>
      <c r="V62" s="24"/>
      <c r="W62" s="24"/>
      <c r="X62" s="24">
        <f>$L62*N62</f>
        <v>2</v>
      </c>
      <c r="Y62" s="24">
        <f t="shared" si="173"/>
        <v>0</v>
      </c>
      <c r="Z62" s="184">
        <f t="shared" si="174"/>
        <v>0</v>
      </c>
      <c r="AA62" s="184">
        <f t="shared" si="175"/>
        <v>2</v>
      </c>
      <c r="AB62" s="24">
        <f t="shared" si="176"/>
        <v>0</v>
      </c>
      <c r="AC62" s="24">
        <f t="shared" si="177"/>
        <v>0</v>
      </c>
      <c r="AD62" s="24">
        <f t="shared" si="178"/>
        <v>0</v>
      </c>
      <c r="AE62" s="24">
        <f t="shared" si="179"/>
        <v>0</v>
      </c>
      <c r="AF62" s="24"/>
      <c r="AG62" s="24"/>
      <c r="AH62" s="183">
        <f>IF(K62="△不明",0,IF(C62="リスク確認",2*P62,IF(C62="対策確認",1*P62,"ERROR")))</f>
        <v>0</v>
      </c>
      <c r="AI62" s="183">
        <f>IF(K62="△不明",0,IF(C62="リスク確認",2*Q62,IF(C62="対策確認",1*Q62,"ERROR")))</f>
        <v>2</v>
      </c>
      <c r="AJ62" s="24">
        <f t="shared" si="180"/>
        <v>0</v>
      </c>
      <c r="AK62" s="24">
        <f t="shared" si="180"/>
        <v>0</v>
      </c>
      <c r="AL62" s="24">
        <f t="shared" si="180"/>
        <v>0</v>
      </c>
      <c r="AM62" s="24">
        <f t="shared" si="180"/>
        <v>0</v>
      </c>
      <c r="AN62" s="24"/>
      <c r="AO62" s="24"/>
      <c r="AP62" s="183">
        <f>IF(K62="△不明",0,IF(C62="リスク確認",0*P62,IF(C62="対策確認",-1*P62,"ERROR")))</f>
        <v>0</v>
      </c>
      <c r="AQ62" s="183">
        <f>IF(K62="△不明",0,IF(C62="リスク確認",0*Q62,IF(C62="対策確認",-1*Q62,"ERROR")))</f>
        <v>0</v>
      </c>
      <c r="AR62" s="24"/>
      <c r="AS62" s="24"/>
      <c r="AT62" s="24"/>
      <c r="AU62" s="24"/>
    </row>
    <row r="63" spans="1:48" x14ac:dyDescent="0.4">
      <c r="A63" s="24" t="s">
        <v>511</v>
      </c>
      <c r="B63" s="147" t="s">
        <v>134</v>
      </c>
      <c r="C63" s="29" t="s">
        <v>66</v>
      </c>
      <c r="D63" s="10"/>
      <c r="E63" s="197" t="s">
        <v>468</v>
      </c>
      <c r="F63" s="10" t="s">
        <v>0</v>
      </c>
      <c r="G63" s="10" t="s">
        <v>0</v>
      </c>
      <c r="H63" s="10" t="s">
        <v>0</v>
      </c>
      <c r="I63" s="10" t="s">
        <v>0</v>
      </c>
      <c r="J63" s="10" t="s">
        <v>0</v>
      </c>
      <c r="K63" s="27" t="s">
        <v>91</v>
      </c>
      <c r="L63" s="28">
        <f>IFERROR(VLOOKUP(K63,選択肢リスト!$F$3:$G$7,2,FALSE),M63)</f>
        <v>1</v>
      </c>
      <c r="M63" s="24">
        <v>0</v>
      </c>
      <c r="N63" s="24"/>
      <c r="O63" s="24"/>
      <c r="P63" s="204"/>
      <c r="Q63" s="205">
        <v>1</v>
      </c>
      <c r="R63" s="149" t="str">
        <f t="shared" si="172"/>
        <v>〇</v>
      </c>
      <c r="S63" s="24"/>
      <c r="T63" s="24"/>
      <c r="U63" s="24"/>
      <c r="V63" s="24"/>
      <c r="W63" s="24"/>
      <c r="X63" s="24">
        <f t="shared" si="181"/>
        <v>0</v>
      </c>
      <c r="Y63" s="24">
        <f t="shared" si="173"/>
        <v>0</v>
      </c>
      <c r="Z63" s="28">
        <f t="shared" si="174"/>
        <v>0</v>
      </c>
      <c r="AA63" s="28">
        <f t="shared" si="175"/>
        <v>1</v>
      </c>
      <c r="AB63" s="24">
        <f t="shared" si="176"/>
        <v>0</v>
      </c>
      <c r="AC63" s="24">
        <f t="shared" si="177"/>
        <v>0</v>
      </c>
      <c r="AD63" s="24">
        <f t="shared" si="178"/>
        <v>0</v>
      </c>
      <c r="AE63" s="24">
        <f t="shared" si="179"/>
        <v>0</v>
      </c>
      <c r="AF63" s="24"/>
      <c r="AG63" s="24"/>
      <c r="AH63" s="28">
        <f>IF(K63="□不要、対象外",0,IF(C63="リスク確認",2*P63,IF(C63="対策確認",1*P63,"ERROR")))</f>
        <v>0</v>
      </c>
      <c r="AI63" s="28">
        <f>IF(K63="□不要、対象外",0,IF(C63="リスク確認",2*Q63,IF(C63="対策確認",1*Q63,"ERROR")))</f>
        <v>1</v>
      </c>
      <c r="AJ63" s="24">
        <f t="shared" si="180"/>
        <v>0</v>
      </c>
      <c r="AK63" s="24">
        <f t="shared" si="180"/>
        <v>0</v>
      </c>
      <c r="AL63" s="24">
        <f t="shared" si="180"/>
        <v>0</v>
      </c>
      <c r="AM63" s="24">
        <f t="shared" si="180"/>
        <v>0</v>
      </c>
      <c r="AN63" s="24"/>
      <c r="AO63" s="24"/>
      <c r="AP63" s="28">
        <f>IF(K63="□不要、対象外",0,IF(C63="リスク確認",0*P63,IF(C63="対策確認",-1*P63,"ERROR")))</f>
        <v>0</v>
      </c>
      <c r="AQ63" s="28">
        <f>IF(K63="□不要、対象外",0,IF(C63="リスク確認",0*Q63,IF(C63="対策確認",-1*Q63,"ERROR")))</f>
        <v>-1</v>
      </c>
      <c r="AR63" s="24"/>
      <c r="AS63" s="24"/>
      <c r="AT63" s="24"/>
      <c r="AU63" s="24"/>
    </row>
    <row r="64" spans="1:48" ht="37.5" x14ac:dyDescent="0.4">
      <c r="A64" s="24" t="s">
        <v>511</v>
      </c>
      <c r="B64" s="147" t="s">
        <v>135</v>
      </c>
      <c r="C64" s="29" t="s">
        <v>66</v>
      </c>
      <c r="D64" s="10"/>
      <c r="E64" s="197" t="s">
        <v>154</v>
      </c>
      <c r="F64" s="10" t="s">
        <v>0</v>
      </c>
      <c r="G64" s="10" t="s">
        <v>0</v>
      </c>
      <c r="H64" s="10" t="s">
        <v>0</v>
      </c>
      <c r="I64" s="10" t="s">
        <v>0</v>
      </c>
      <c r="J64" s="10" t="s">
        <v>0</v>
      </c>
      <c r="K64" s="27" t="s">
        <v>91</v>
      </c>
      <c r="L64" s="28">
        <f>IFERROR(VLOOKUP(K64,選択肢リスト!$F$3:$G$7,2,FALSE),M64)</f>
        <v>1</v>
      </c>
      <c r="M64" s="24">
        <v>0</v>
      </c>
      <c r="N64" s="24"/>
      <c r="O64" s="24"/>
      <c r="P64" s="204"/>
      <c r="Q64" s="205">
        <v>1</v>
      </c>
      <c r="R64" s="149" t="str">
        <f t="shared" si="172"/>
        <v>〇</v>
      </c>
      <c r="S64" s="24"/>
      <c r="T64" s="24"/>
      <c r="U64" s="24"/>
      <c r="V64" s="24"/>
      <c r="W64" s="24"/>
      <c r="X64" s="24">
        <f t="shared" si="181"/>
        <v>0</v>
      </c>
      <c r="Y64" s="24">
        <f t="shared" si="173"/>
        <v>0</v>
      </c>
      <c r="Z64" s="28">
        <f t="shared" si="174"/>
        <v>0</v>
      </c>
      <c r="AA64" s="28">
        <f t="shared" si="175"/>
        <v>1</v>
      </c>
      <c r="AB64" s="24">
        <f t="shared" si="176"/>
        <v>0</v>
      </c>
      <c r="AC64" s="24">
        <f t="shared" si="177"/>
        <v>0</v>
      </c>
      <c r="AD64" s="24">
        <f t="shared" si="178"/>
        <v>0</v>
      </c>
      <c r="AE64" s="24">
        <f t="shared" si="179"/>
        <v>0</v>
      </c>
      <c r="AF64" s="24"/>
      <c r="AG64" s="24"/>
      <c r="AH64" s="28">
        <f>IF(K64="□不要、対象外",0,IF(C64="リスク確認",2*P64,IF(C64="対策確認",1*P64,"ERROR")))</f>
        <v>0</v>
      </c>
      <c r="AI64" s="28">
        <f>IF(K64="□不要、対象外",0,IF(C64="リスク確認",2*Q64,IF(C64="対策確認",1*Q64,"ERROR")))</f>
        <v>1</v>
      </c>
      <c r="AJ64" s="24">
        <f t="shared" si="180"/>
        <v>0</v>
      </c>
      <c r="AK64" s="24">
        <f t="shared" si="180"/>
        <v>0</v>
      </c>
      <c r="AL64" s="24">
        <f t="shared" si="180"/>
        <v>0</v>
      </c>
      <c r="AM64" s="24">
        <f t="shared" si="180"/>
        <v>0</v>
      </c>
      <c r="AN64" s="24"/>
      <c r="AO64" s="24"/>
      <c r="AP64" s="28">
        <f>IF(K64="□不要、対象外",0,IF(C64="リスク確認",0*P64,IF(C64="対策確認",-1*P64,"ERROR")))</f>
        <v>0</v>
      </c>
      <c r="AQ64" s="28">
        <f>IF(K64="□不要、対象外",0,IF(C64="リスク確認",0*Q64,IF(C64="対策確認",-1*Q64,"ERROR")))</f>
        <v>-1</v>
      </c>
      <c r="AR64" s="24"/>
      <c r="AS64" s="24"/>
      <c r="AT64" s="24"/>
      <c r="AU64" s="24"/>
    </row>
    <row r="65" spans="1:48" ht="37.5" x14ac:dyDescent="0.4">
      <c r="A65" s="24" t="s">
        <v>511</v>
      </c>
      <c r="B65" s="147" t="s">
        <v>136</v>
      </c>
      <c r="C65" s="29" t="s">
        <v>66</v>
      </c>
      <c r="D65" s="10"/>
      <c r="E65" s="197" t="s">
        <v>155</v>
      </c>
      <c r="F65" s="10" t="s">
        <v>0</v>
      </c>
      <c r="G65" s="10" t="s">
        <v>0</v>
      </c>
      <c r="H65" s="10" t="s">
        <v>0</v>
      </c>
      <c r="I65" s="10" t="s">
        <v>0</v>
      </c>
      <c r="J65" s="10" t="s">
        <v>0</v>
      </c>
      <c r="K65" s="27" t="s">
        <v>91</v>
      </c>
      <c r="L65" s="28">
        <f>IFERROR(VLOOKUP(K65,選択肢リスト!$F$3:$G$7,2,FALSE),M65)</f>
        <v>1</v>
      </c>
      <c r="M65" s="24">
        <v>0</v>
      </c>
      <c r="N65" s="24"/>
      <c r="O65" s="24"/>
      <c r="P65" s="204"/>
      <c r="Q65" s="205">
        <v>1</v>
      </c>
      <c r="R65" s="149" t="str">
        <f t="shared" si="172"/>
        <v>〇</v>
      </c>
      <c r="S65" s="24"/>
      <c r="T65" s="24"/>
      <c r="U65" s="24"/>
      <c r="V65" s="24"/>
      <c r="W65" s="24"/>
      <c r="X65" s="24">
        <f t="shared" si="181"/>
        <v>0</v>
      </c>
      <c r="Y65" s="24">
        <f t="shared" si="173"/>
        <v>0</v>
      </c>
      <c r="Z65" s="28">
        <f t="shared" si="174"/>
        <v>0</v>
      </c>
      <c r="AA65" s="28">
        <f t="shared" si="175"/>
        <v>1</v>
      </c>
      <c r="AB65" s="24">
        <f t="shared" si="176"/>
        <v>0</v>
      </c>
      <c r="AC65" s="24">
        <f t="shared" si="177"/>
        <v>0</v>
      </c>
      <c r="AD65" s="24">
        <f t="shared" si="178"/>
        <v>0</v>
      </c>
      <c r="AE65" s="24">
        <f t="shared" si="179"/>
        <v>0</v>
      </c>
      <c r="AF65" s="24"/>
      <c r="AG65" s="24"/>
      <c r="AH65" s="28">
        <f>IF(K65="□不要、対象外",0,IF(C65="リスク確認",2*P65,IF(C65="対策確認",1*P65,"ERROR")))</f>
        <v>0</v>
      </c>
      <c r="AI65" s="28">
        <f>IF(K65="□不要、対象外",0,IF(C65="リスク確認",2*Q65,IF(C65="対策確認",1*Q65,"ERROR")))</f>
        <v>1</v>
      </c>
      <c r="AJ65" s="24">
        <f t="shared" si="180"/>
        <v>0</v>
      </c>
      <c r="AK65" s="24">
        <f t="shared" si="180"/>
        <v>0</v>
      </c>
      <c r="AL65" s="24">
        <f t="shared" si="180"/>
        <v>0</v>
      </c>
      <c r="AM65" s="24">
        <f t="shared" si="180"/>
        <v>0</v>
      </c>
      <c r="AN65" s="24"/>
      <c r="AO65" s="24"/>
      <c r="AP65" s="28">
        <f>IF(K65="□不要、対象外",0,IF(C65="リスク確認",0*P65,IF(C65="対策確認",-1*P65,"ERROR")))</f>
        <v>0</v>
      </c>
      <c r="AQ65" s="28">
        <f>IF(K65="□不要、対象外",0,IF(C65="リスク確認",0*Q65,IF(C65="対策確認",-1*Q65,"ERROR")))</f>
        <v>-1</v>
      </c>
      <c r="AR65" s="24"/>
      <c r="AS65" s="24"/>
      <c r="AT65" s="24"/>
      <c r="AU65" s="24"/>
    </row>
    <row r="66" spans="1:48" x14ac:dyDescent="0.4">
      <c r="A66" s="24"/>
      <c r="B66" s="10"/>
      <c r="C66" s="10"/>
      <c r="D66" s="10"/>
      <c r="E66" s="25"/>
      <c r="F66" s="10"/>
      <c r="G66" s="10"/>
      <c r="H66" s="10"/>
      <c r="I66" s="10"/>
      <c r="J66" s="10"/>
      <c r="K66" s="23" t="e">
        <f>IF(#REF!="","",#REF!)</f>
        <v>#REF!</v>
      </c>
      <c r="L66" s="10"/>
      <c r="M66" s="24"/>
      <c r="N66" s="24"/>
      <c r="O66" s="24"/>
      <c r="P66" s="24"/>
      <c r="Q66" s="24"/>
      <c r="R66" s="149" t="str">
        <f t="shared" si="113"/>
        <v/>
      </c>
      <c r="S66" s="24"/>
      <c r="T66" s="24"/>
      <c r="U66" s="24"/>
      <c r="V66" s="24"/>
      <c r="W66" s="24"/>
      <c r="X66" s="24"/>
      <c r="Y66" s="24"/>
      <c r="Z66" s="10"/>
      <c r="AA66" s="10"/>
      <c r="AB66" s="24"/>
      <c r="AC66" s="24"/>
      <c r="AD66" s="24"/>
      <c r="AE66" s="24"/>
      <c r="AF66" s="24"/>
      <c r="AG66" s="24"/>
      <c r="AH66" s="10"/>
      <c r="AI66" s="10"/>
      <c r="AJ66" s="24"/>
      <c r="AK66" s="24"/>
      <c r="AL66" s="24"/>
      <c r="AM66" s="24"/>
      <c r="AN66" s="24"/>
      <c r="AO66" s="24"/>
      <c r="AP66" s="10"/>
      <c r="AQ66" s="10"/>
      <c r="AR66" s="24"/>
      <c r="AS66" s="24"/>
      <c r="AT66" s="24"/>
      <c r="AU66" s="24"/>
      <c r="AV66" s="189"/>
    </row>
    <row r="67" spans="1:48" x14ac:dyDescent="0.4">
      <c r="A67" s="31" t="s">
        <v>513</v>
      </c>
      <c r="B67" s="31"/>
      <c r="C67" s="31" t="s">
        <v>53</v>
      </c>
      <c r="D67" s="32"/>
      <c r="E67" s="195"/>
      <c r="F67" s="32"/>
      <c r="G67" s="32"/>
      <c r="H67" s="32"/>
      <c r="I67" s="32"/>
      <c r="J67" s="32"/>
      <c r="K67" s="33" t="e">
        <f>IF(#REF!="","",#REF!)</f>
        <v>#REF!</v>
      </c>
      <c r="L67" s="32"/>
      <c r="M67" s="34"/>
      <c r="N67" s="34"/>
      <c r="O67" s="34"/>
      <c r="P67" s="202" t="s">
        <v>0</v>
      </c>
      <c r="Q67" s="202" t="s">
        <v>0</v>
      </c>
      <c r="R67" s="32" t="s">
        <v>0</v>
      </c>
      <c r="S67" s="34"/>
      <c r="T67" s="34"/>
      <c r="U67" s="34"/>
      <c r="V67" s="34"/>
      <c r="W67" s="31" t="s">
        <v>106</v>
      </c>
      <c r="X67" s="35">
        <f t="shared" ref="X67:AE67" si="182">SUM(X68:X81)</f>
        <v>0</v>
      </c>
      <c r="Y67" s="35">
        <f t="shared" si="182"/>
        <v>0</v>
      </c>
      <c r="Z67" s="35">
        <f t="shared" si="182"/>
        <v>0</v>
      </c>
      <c r="AA67" s="35">
        <f t="shared" si="182"/>
        <v>0</v>
      </c>
      <c r="AB67" s="35">
        <f t="shared" si="182"/>
        <v>0</v>
      </c>
      <c r="AC67" s="35">
        <f t="shared" si="182"/>
        <v>0</v>
      </c>
      <c r="AD67" s="35">
        <f t="shared" si="182"/>
        <v>0</v>
      </c>
      <c r="AE67" s="35">
        <f t="shared" si="182"/>
        <v>0</v>
      </c>
      <c r="AF67" s="35"/>
      <c r="AG67" s="35"/>
      <c r="AH67" s="35">
        <f t="shared" ref="AH67:AM67" si="183">SUM(AH68:AH81)</f>
        <v>0</v>
      </c>
      <c r="AI67" s="35">
        <f t="shared" si="183"/>
        <v>24</v>
      </c>
      <c r="AJ67" s="35">
        <f t="shared" si="183"/>
        <v>0</v>
      </c>
      <c r="AK67" s="35">
        <f t="shared" si="183"/>
        <v>0</v>
      </c>
      <c r="AL67" s="35">
        <f t="shared" si="183"/>
        <v>0</v>
      </c>
      <c r="AM67" s="35">
        <f t="shared" si="183"/>
        <v>0</v>
      </c>
      <c r="AN67" s="35"/>
      <c r="AO67" s="35"/>
      <c r="AP67" s="35">
        <f>SUM(AP68:AP81)</f>
        <v>0</v>
      </c>
      <c r="AQ67" s="35">
        <f>SUM(AQ68:AQ81)</f>
        <v>0</v>
      </c>
      <c r="AR67" s="35"/>
      <c r="AS67" s="35"/>
      <c r="AT67" s="35"/>
      <c r="AU67" s="35"/>
      <c r="AV67" s="189"/>
    </row>
    <row r="68" spans="1:48" x14ac:dyDescent="0.4">
      <c r="A68" s="24" t="s">
        <v>512</v>
      </c>
      <c r="B68" s="10"/>
      <c r="C68" s="29" t="s">
        <v>66</v>
      </c>
      <c r="D68" s="10"/>
      <c r="E68" s="25" t="s">
        <v>107</v>
      </c>
      <c r="F68" s="10" t="s">
        <v>0</v>
      </c>
      <c r="G68" s="10" t="s">
        <v>0</v>
      </c>
      <c r="H68" s="10" t="s">
        <v>0</v>
      </c>
      <c r="I68" s="10" t="s">
        <v>0</v>
      </c>
      <c r="J68" s="10" t="s">
        <v>0</v>
      </c>
      <c r="K68" s="27" t="e">
        <f>IF(#REF!="","",#REF!)</f>
        <v>#REF!</v>
      </c>
      <c r="L68" s="28">
        <f>IFERROR(VLOOKUP(K68,選択肢リスト!$F$3:$G$7,2,FALSE),M68)</f>
        <v>0</v>
      </c>
      <c r="M68" s="24">
        <v>0</v>
      </c>
      <c r="N68" s="24">
        <v>1</v>
      </c>
      <c r="O68" s="24"/>
      <c r="P68" s="24"/>
      <c r="Q68" s="24"/>
      <c r="R68" s="149" t="str">
        <f t="shared" ref="R68:R81" si="184">IF(AND(P68="",Q68=""),"","〇")</f>
        <v/>
      </c>
      <c r="S68" s="24"/>
      <c r="T68" s="24"/>
      <c r="U68" s="24"/>
      <c r="V68" s="24"/>
      <c r="W68" s="24"/>
      <c r="X68" s="24">
        <f t="shared" ref="X68:X80" si="185">$L68*N68</f>
        <v>0</v>
      </c>
      <c r="Y68" s="24">
        <f t="shared" ref="Y68:Y80" si="186">$L68*O68</f>
        <v>0</v>
      </c>
      <c r="Z68" s="28">
        <f t="shared" ref="Z68:Z80" si="187">$L68*P68</f>
        <v>0</v>
      </c>
      <c r="AA68" s="28">
        <f t="shared" ref="AA68:AA80" si="188">$L68*Q68</f>
        <v>0</v>
      </c>
      <c r="AB68" s="24">
        <f t="shared" ref="AB68:AB80" si="189">$L68*S68</f>
        <v>0</v>
      </c>
      <c r="AC68" s="24">
        <f t="shared" ref="AC68:AC80" si="190">$L68*T68</f>
        <v>0</v>
      </c>
      <c r="AD68" s="24">
        <f t="shared" ref="AD68:AD80" si="191">$L68*U68</f>
        <v>0</v>
      </c>
      <c r="AE68" s="24">
        <f t="shared" ref="AE68:AE80" si="192">$L68*V68</f>
        <v>0</v>
      </c>
      <c r="AF68" s="24"/>
      <c r="AG68" s="24"/>
      <c r="AH68" s="28"/>
      <c r="AI68" s="28"/>
      <c r="AJ68" s="24"/>
      <c r="AK68" s="24"/>
      <c r="AL68" s="24"/>
      <c r="AM68" s="24"/>
      <c r="AN68" s="24"/>
      <c r="AO68" s="24"/>
      <c r="AP68" s="28"/>
      <c r="AQ68" s="28"/>
      <c r="AR68" s="24"/>
      <c r="AS68" s="24"/>
      <c r="AT68" s="24"/>
      <c r="AU68" s="24"/>
      <c r="AV68" s="189"/>
    </row>
    <row r="69" spans="1:48" ht="37.5" x14ac:dyDescent="0.4">
      <c r="A69" s="24" t="s">
        <v>512</v>
      </c>
      <c r="B69" s="10"/>
      <c r="C69" s="29" t="s">
        <v>66</v>
      </c>
      <c r="D69" s="10"/>
      <c r="E69" s="25" t="s">
        <v>109</v>
      </c>
      <c r="F69" s="10" t="s">
        <v>0</v>
      </c>
      <c r="G69" s="10" t="s">
        <v>0</v>
      </c>
      <c r="H69" s="10" t="s">
        <v>0</v>
      </c>
      <c r="I69" s="10" t="s">
        <v>0</v>
      </c>
      <c r="J69" s="10" t="s">
        <v>0</v>
      </c>
      <c r="K69" s="27" t="e">
        <f>IF(#REF!="","",#REF!)</f>
        <v>#REF!</v>
      </c>
      <c r="L69" s="28">
        <f>IFERROR(VLOOKUP(K69,選択肢リスト!$F$3:$G$7,2,FALSE),M69)</f>
        <v>0</v>
      </c>
      <c r="M69" s="24">
        <v>0</v>
      </c>
      <c r="N69" s="24">
        <v>1</v>
      </c>
      <c r="O69" s="24"/>
      <c r="P69" s="24"/>
      <c r="Q69" s="24"/>
      <c r="R69" s="149" t="str">
        <f t="shared" si="184"/>
        <v/>
      </c>
      <c r="S69" s="24"/>
      <c r="T69" s="24"/>
      <c r="U69" s="24"/>
      <c r="V69" s="24"/>
      <c r="W69" s="24"/>
      <c r="X69" s="24">
        <f t="shared" si="185"/>
        <v>0</v>
      </c>
      <c r="Y69" s="24">
        <f t="shared" si="186"/>
        <v>0</v>
      </c>
      <c r="Z69" s="28">
        <f t="shared" si="187"/>
        <v>0</v>
      </c>
      <c r="AA69" s="28">
        <f t="shared" si="188"/>
        <v>0</v>
      </c>
      <c r="AB69" s="24">
        <f t="shared" si="189"/>
        <v>0</v>
      </c>
      <c r="AC69" s="24">
        <f t="shared" si="190"/>
        <v>0</v>
      </c>
      <c r="AD69" s="24">
        <f t="shared" si="191"/>
        <v>0</v>
      </c>
      <c r="AE69" s="24">
        <f t="shared" si="192"/>
        <v>0</v>
      </c>
      <c r="AF69" s="24"/>
      <c r="AG69" s="24"/>
      <c r="AH69" s="28"/>
      <c r="AI69" s="28"/>
      <c r="AJ69" s="24"/>
      <c r="AK69" s="24"/>
      <c r="AL69" s="24"/>
      <c r="AM69" s="24"/>
      <c r="AN69" s="24"/>
      <c r="AO69" s="24"/>
      <c r="AP69" s="28"/>
      <c r="AQ69" s="28"/>
      <c r="AR69" s="24"/>
      <c r="AS69" s="24"/>
      <c r="AT69" s="24"/>
      <c r="AU69" s="24"/>
      <c r="AV69" s="189"/>
    </row>
    <row r="70" spans="1:48" ht="37.5" x14ac:dyDescent="0.4">
      <c r="A70" s="24" t="s">
        <v>512</v>
      </c>
      <c r="B70" s="10"/>
      <c r="C70" s="29" t="s">
        <v>66</v>
      </c>
      <c r="D70" s="10"/>
      <c r="E70" s="25" t="s">
        <v>115</v>
      </c>
      <c r="F70" s="10" t="s">
        <v>0</v>
      </c>
      <c r="G70" s="10" t="s">
        <v>0</v>
      </c>
      <c r="H70" s="10" t="s">
        <v>0</v>
      </c>
      <c r="I70" s="10" t="s">
        <v>0</v>
      </c>
      <c r="J70" s="10" t="s">
        <v>0</v>
      </c>
      <c r="K70" s="27" t="e">
        <f>IF(#REF!="","",#REF!)</f>
        <v>#REF!</v>
      </c>
      <c r="L70" s="28">
        <f>IFERROR(VLOOKUP(K70,選択肢リスト!$F$3:$G$7,2,FALSE),M70)</f>
        <v>0</v>
      </c>
      <c r="M70" s="24">
        <v>0</v>
      </c>
      <c r="N70" s="24">
        <v>1</v>
      </c>
      <c r="O70" s="24"/>
      <c r="P70" s="24"/>
      <c r="Q70" s="24"/>
      <c r="R70" s="149" t="str">
        <f t="shared" si="184"/>
        <v/>
      </c>
      <c r="S70" s="24"/>
      <c r="T70" s="24"/>
      <c r="U70" s="24"/>
      <c r="V70" s="24"/>
      <c r="W70" s="24"/>
      <c r="X70" s="24">
        <f t="shared" si="185"/>
        <v>0</v>
      </c>
      <c r="Y70" s="24">
        <f t="shared" si="186"/>
        <v>0</v>
      </c>
      <c r="Z70" s="28">
        <f t="shared" si="187"/>
        <v>0</v>
      </c>
      <c r="AA70" s="28">
        <f t="shared" si="188"/>
        <v>0</v>
      </c>
      <c r="AB70" s="24">
        <f t="shared" si="189"/>
        <v>0</v>
      </c>
      <c r="AC70" s="24">
        <f t="shared" si="190"/>
        <v>0</v>
      </c>
      <c r="AD70" s="24">
        <f t="shared" si="191"/>
        <v>0</v>
      </c>
      <c r="AE70" s="24">
        <f t="shared" si="192"/>
        <v>0</v>
      </c>
      <c r="AF70" s="24"/>
      <c r="AG70" s="24"/>
      <c r="AH70" s="28"/>
      <c r="AI70" s="28"/>
      <c r="AJ70" s="24"/>
      <c r="AK70" s="24"/>
      <c r="AL70" s="24"/>
      <c r="AM70" s="24"/>
      <c r="AN70" s="24"/>
      <c r="AO70" s="24"/>
      <c r="AP70" s="28"/>
      <c r="AQ70" s="28"/>
      <c r="AR70" s="24"/>
      <c r="AS70" s="24"/>
      <c r="AT70" s="24"/>
      <c r="AU70" s="24"/>
      <c r="AV70" s="189"/>
    </row>
    <row r="71" spans="1:48" x14ac:dyDescent="0.4">
      <c r="A71" s="24" t="s">
        <v>512</v>
      </c>
      <c r="B71" s="10"/>
      <c r="C71" s="29" t="s">
        <v>66</v>
      </c>
      <c r="D71" s="10"/>
      <c r="E71" s="25" t="s">
        <v>108</v>
      </c>
      <c r="F71" s="10" t="s">
        <v>0</v>
      </c>
      <c r="G71" s="10" t="s">
        <v>0</v>
      </c>
      <c r="H71" s="10" t="s">
        <v>0</v>
      </c>
      <c r="I71" s="10" t="s">
        <v>0</v>
      </c>
      <c r="J71" s="10" t="s">
        <v>0</v>
      </c>
      <c r="K71" s="27" t="e">
        <f>IF(#REF!="","",#REF!)</f>
        <v>#REF!</v>
      </c>
      <c r="L71" s="28">
        <f>IFERROR(VLOOKUP(K71,選択肢リスト!$F$3:$G$7,2,FALSE),M71)</f>
        <v>0</v>
      </c>
      <c r="M71" s="24">
        <v>0</v>
      </c>
      <c r="N71" s="24">
        <v>2</v>
      </c>
      <c r="O71" s="24"/>
      <c r="P71" s="24"/>
      <c r="Q71" s="24"/>
      <c r="R71" s="149" t="str">
        <f t="shared" si="184"/>
        <v/>
      </c>
      <c r="S71" s="24"/>
      <c r="T71" s="24"/>
      <c r="U71" s="24"/>
      <c r="V71" s="24"/>
      <c r="W71" s="24"/>
      <c r="X71" s="24">
        <f t="shared" si="185"/>
        <v>0</v>
      </c>
      <c r="Y71" s="24">
        <f t="shared" si="186"/>
        <v>0</v>
      </c>
      <c r="Z71" s="28">
        <f t="shared" si="187"/>
        <v>0</v>
      </c>
      <c r="AA71" s="28">
        <f t="shared" si="188"/>
        <v>0</v>
      </c>
      <c r="AB71" s="24">
        <f t="shared" si="189"/>
        <v>0</v>
      </c>
      <c r="AC71" s="24">
        <f t="shared" si="190"/>
        <v>0</v>
      </c>
      <c r="AD71" s="24">
        <f t="shared" si="191"/>
        <v>0</v>
      </c>
      <c r="AE71" s="24">
        <f t="shared" si="192"/>
        <v>0</v>
      </c>
      <c r="AF71" s="24"/>
      <c r="AG71" s="24"/>
      <c r="AH71" s="28"/>
      <c r="AI71" s="28"/>
      <c r="AJ71" s="24"/>
      <c r="AK71" s="24"/>
      <c r="AL71" s="24"/>
      <c r="AM71" s="24"/>
      <c r="AN71" s="24"/>
      <c r="AO71" s="24"/>
      <c r="AP71" s="28"/>
      <c r="AQ71" s="28"/>
      <c r="AR71" s="24"/>
      <c r="AS71" s="24"/>
      <c r="AT71" s="24"/>
      <c r="AU71" s="24"/>
      <c r="AV71" s="189"/>
    </row>
    <row r="72" spans="1:48" x14ac:dyDescent="0.4">
      <c r="A72" s="24" t="s">
        <v>512</v>
      </c>
      <c r="B72" s="10"/>
      <c r="C72" s="29" t="s">
        <v>66</v>
      </c>
      <c r="D72" s="10"/>
      <c r="E72" s="25" t="s">
        <v>114</v>
      </c>
      <c r="F72" s="10" t="s">
        <v>0</v>
      </c>
      <c r="G72" s="10" t="s">
        <v>0</v>
      </c>
      <c r="H72" s="10" t="s">
        <v>0</v>
      </c>
      <c r="I72" s="10" t="s">
        <v>0</v>
      </c>
      <c r="J72" s="10" t="s">
        <v>0</v>
      </c>
      <c r="K72" s="27" t="e">
        <f>IF(#REF!="","",#REF!)</f>
        <v>#REF!</v>
      </c>
      <c r="L72" s="28">
        <f>IFERROR(VLOOKUP(K72,選択肢リスト!$F$3:$G$7,2,FALSE),M72)</f>
        <v>0</v>
      </c>
      <c r="M72" s="24">
        <v>0</v>
      </c>
      <c r="N72" s="24">
        <v>1</v>
      </c>
      <c r="O72" s="24"/>
      <c r="P72" s="24"/>
      <c r="Q72" s="24"/>
      <c r="R72" s="149" t="str">
        <f t="shared" si="184"/>
        <v/>
      </c>
      <c r="S72" s="24"/>
      <c r="T72" s="24"/>
      <c r="U72" s="24"/>
      <c r="V72" s="24"/>
      <c r="W72" s="24"/>
      <c r="X72" s="24">
        <f t="shared" si="185"/>
        <v>0</v>
      </c>
      <c r="Y72" s="24">
        <f t="shared" si="186"/>
        <v>0</v>
      </c>
      <c r="Z72" s="28">
        <f t="shared" si="187"/>
        <v>0</v>
      </c>
      <c r="AA72" s="28">
        <f t="shared" si="188"/>
        <v>0</v>
      </c>
      <c r="AB72" s="24">
        <f t="shared" si="189"/>
        <v>0</v>
      </c>
      <c r="AC72" s="24">
        <f t="shared" si="190"/>
        <v>0</v>
      </c>
      <c r="AD72" s="24">
        <f t="shared" si="191"/>
        <v>0</v>
      </c>
      <c r="AE72" s="24">
        <f t="shared" si="192"/>
        <v>0</v>
      </c>
      <c r="AF72" s="24"/>
      <c r="AG72" s="24"/>
      <c r="AH72" s="28"/>
      <c r="AI72" s="28"/>
      <c r="AJ72" s="24"/>
      <c r="AK72" s="24"/>
      <c r="AL72" s="24"/>
      <c r="AM72" s="24"/>
      <c r="AN72" s="24"/>
      <c r="AO72" s="24"/>
      <c r="AP72" s="28"/>
      <c r="AQ72" s="28"/>
      <c r="AR72" s="24"/>
      <c r="AS72" s="24"/>
      <c r="AT72" s="24"/>
      <c r="AU72" s="24"/>
      <c r="AV72" s="189"/>
    </row>
    <row r="73" spans="1:48" x14ac:dyDescent="0.4">
      <c r="A73" s="24" t="s">
        <v>512</v>
      </c>
      <c r="B73" s="10"/>
      <c r="C73" s="29" t="s">
        <v>66</v>
      </c>
      <c r="D73" s="10"/>
      <c r="E73" s="25" t="s">
        <v>125</v>
      </c>
      <c r="F73" s="10" t="s">
        <v>0</v>
      </c>
      <c r="G73" s="10" t="s">
        <v>0</v>
      </c>
      <c r="H73" s="10" t="s">
        <v>0</v>
      </c>
      <c r="I73" s="10" t="s">
        <v>0</v>
      </c>
      <c r="J73" s="10" t="s">
        <v>0</v>
      </c>
      <c r="K73" s="27" t="e">
        <f>IF(#REF!="","",#REF!)</f>
        <v>#REF!</v>
      </c>
      <c r="L73" s="28">
        <f>IFERROR(VLOOKUP(K73,選択肢リスト!$F$3:$G$7,2,FALSE),M73)</f>
        <v>0</v>
      </c>
      <c r="M73" s="24">
        <v>0</v>
      </c>
      <c r="N73" s="24">
        <v>1</v>
      </c>
      <c r="O73" s="24"/>
      <c r="P73" s="24"/>
      <c r="Q73" s="24"/>
      <c r="R73" s="149" t="str">
        <f t="shared" si="184"/>
        <v/>
      </c>
      <c r="S73" s="24"/>
      <c r="T73" s="24"/>
      <c r="U73" s="24"/>
      <c r="V73" s="24"/>
      <c r="W73" s="24"/>
      <c r="X73" s="24">
        <f t="shared" si="185"/>
        <v>0</v>
      </c>
      <c r="Y73" s="24">
        <f t="shared" si="186"/>
        <v>0</v>
      </c>
      <c r="Z73" s="28">
        <f t="shared" si="187"/>
        <v>0</v>
      </c>
      <c r="AA73" s="28">
        <f t="shared" si="188"/>
        <v>0</v>
      </c>
      <c r="AB73" s="24">
        <f t="shared" si="189"/>
        <v>0</v>
      </c>
      <c r="AC73" s="24">
        <f t="shared" si="190"/>
        <v>0</v>
      </c>
      <c r="AD73" s="24">
        <f t="shared" si="191"/>
        <v>0</v>
      </c>
      <c r="AE73" s="24">
        <f t="shared" si="192"/>
        <v>0</v>
      </c>
      <c r="AF73" s="24"/>
      <c r="AG73" s="24"/>
      <c r="AH73" s="28"/>
      <c r="AI73" s="28"/>
      <c r="AJ73" s="24"/>
      <c r="AK73" s="24"/>
      <c r="AL73" s="24"/>
      <c r="AM73" s="24"/>
      <c r="AN73" s="24"/>
      <c r="AO73" s="24"/>
      <c r="AP73" s="28"/>
      <c r="AQ73" s="28"/>
      <c r="AR73" s="24"/>
      <c r="AS73" s="24"/>
      <c r="AT73" s="24"/>
      <c r="AU73" s="24"/>
      <c r="AV73" s="189"/>
    </row>
    <row r="74" spans="1:48" x14ac:dyDescent="0.4">
      <c r="A74" s="24" t="s">
        <v>512</v>
      </c>
      <c r="B74" s="147" t="s">
        <v>137</v>
      </c>
      <c r="C74" s="26" t="s">
        <v>65</v>
      </c>
      <c r="D74" s="10"/>
      <c r="E74" s="193" t="s">
        <v>559</v>
      </c>
      <c r="F74" s="10" t="s">
        <v>0</v>
      </c>
      <c r="G74" s="10" t="s">
        <v>0</v>
      </c>
      <c r="H74" s="10" t="s">
        <v>0</v>
      </c>
      <c r="I74" s="10" t="s">
        <v>0</v>
      </c>
      <c r="J74" s="10" t="s">
        <v>0</v>
      </c>
      <c r="K74" s="182" t="s">
        <v>72</v>
      </c>
      <c r="L74" s="184">
        <f>IFERROR(VLOOKUP(K74,選択肢リスト!$B$3:$C$6,2,FALSE),M74)</f>
        <v>0</v>
      </c>
      <c r="M74" s="24">
        <v>0</v>
      </c>
      <c r="N74" s="24"/>
      <c r="O74" s="24">
        <v>2</v>
      </c>
      <c r="P74" s="204"/>
      <c r="Q74" s="203">
        <v>2</v>
      </c>
      <c r="R74" s="149" t="str">
        <f t="shared" si="184"/>
        <v>〇</v>
      </c>
      <c r="S74" s="24"/>
      <c r="T74" s="24"/>
      <c r="U74" s="24"/>
      <c r="V74" s="24"/>
      <c r="W74" s="24"/>
      <c r="X74" s="24">
        <f t="shared" si="185"/>
        <v>0</v>
      </c>
      <c r="Y74" s="24">
        <f t="shared" si="186"/>
        <v>0</v>
      </c>
      <c r="Z74" s="184">
        <f t="shared" si="187"/>
        <v>0</v>
      </c>
      <c r="AA74" s="184">
        <f t="shared" si="188"/>
        <v>0</v>
      </c>
      <c r="AB74" s="24">
        <f t="shared" si="189"/>
        <v>0</v>
      </c>
      <c r="AC74" s="24">
        <f t="shared" si="190"/>
        <v>0</v>
      </c>
      <c r="AD74" s="24">
        <f t="shared" si="191"/>
        <v>0</v>
      </c>
      <c r="AE74" s="24">
        <f t="shared" si="192"/>
        <v>0</v>
      </c>
      <c r="AF74" s="24"/>
      <c r="AG74" s="24"/>
      <c r="AH74" s="183">
        <f t="shared" ref="AH74:AH79" si="193">IF(K74="△不明",0,IF(C74="リスク確認",2*P74,IF(C74="対策確認",1*P74,"ERROR")))</f>
        <v>0</v>
      </c>
      <c r="AI74" s="183">
        <f t="shared" ref="AI74:AI79" si="194">IF(K74="△不明",0,IF(C74="リスク確認",2*Q74,IF(C74="対策確認",1*Q74,"ERROR")))</f>
        <v>4</v>
      </c>
      <c r="AJ74" s="24">
        <f t="shared" ref="AJ74:AM79" si="195">S74*$M74</f>
        <v>0</v>
      </c>
      <c r="AK74" s="24">
        <f t="shared" si="195"/>
        <v>0</v>
      </c>
      <c r="AL74" s="24">
        <f t="shared" si="195"/>
        <v>0</v>
      </c>
      <c r="AM74" s="24">
        <f t="shared" si="195"/>
        <v>0</v>
      </c>
      <c r="AN74" s="24"/>
      <c r="AO74" s="24"/>
      <c r="AP74" s="183">
        <f t="shared" ref="AP74:AP79" si="196">IF(K74="△不明",0,IF(C74="リスク確認",0*P74,IF(C74="対策確認",-1*P74,"ERROR")))</f>
        <v>0</v>
      </c>
      <c r="AQ74" s="183">
        <f t="shared" ref="AQ74:AQ79" si="197">IF(K74="△不明",0,IF(C74="リスク確認",0*Q74,IF(C74="対策確認",-1*Q74,"ERROR")))</f>
        <v>0</v>
      </c>
      <c r="AR74" s="24"/>
      <c r="AS74" s="24"/>
      <c r="AT74" s="24"/>
      <c r="AU74" s="24"/>
      <c r="AV74" s="186" t="s">
        <v>605</v>
      </c>
    </row>
    <row r="75" spans="1:48" ht="37.5" x14ac:dyDescent="0.4">
      <c r="A75" s="24" t="s">
        <v>512</v>
      </c>
      <c r="B75" s="147" t="s">
        <v>545</v>
      </c>
      <c r="C75" s="26" t="s">
        <v>65</v>
      </c>
      <c r="D75" s="10"/>
      <c r="E75" s="193" t="s">
        <v>462</v>
      </c>
      <c r="F75" s="10" t="s">
        <v>0</v>
      </c>
      <c r="G75" s="10" t="s">
        <v>0</v>
      </c>
      <c r="H75" s="10" t="s">
        <v>0</v>
      </c>
      <c r="I75" s="10" t="s">
        <v>0</v>
      </c>
      <c r="J75" s="10" t="s">
        <v>0</v>
      </c>
      <c r="K75" s="182" t="s">
        <v>72</v>
      </c>
      <c r="L75" s="184">
        <f>IFERROR(VLOOKUP(K75,選択肢リスト!$B$3:$C$6,2,FALSE),M75)</f>
        <v>0</v>
      </c>
      <c r="M75" s="24">
        <v>0</v>
      </c>
      <c r="N75" s="24"/>
      <c r="O75" s="24">
        <v>2</v>
      </c>
      <c r="P75" s="204"/>
      <c r="Q75" s="203">
        <v>2</v>
      </c>
      <c r="R75" s="149" t="str">
        <f t="shared" si="184"/>
        <v>〇</v>
      </c>
      <c r="S75" s="24"/>
      <c r="T75" s="24"/>
      <c r="U75" s="24"/>
      <c r="V75" s="24"/>
      <c r="W75" s="24"/>
      <c r="X75" s="24">
        <f t="shared" si="185"/>
        <v>0</v>
      </c>
      <c r="Y75" s="24">
        <f t="shared" si="186"/>
        <v>0</v>
      </c>
      <c r="Z75" s="184">
        <f t="shared" si="187"/>
        <v>0</v>
      </c>
      <c r="AA75" s="184">
        <f t="shared" si="188"/>
        <v>0</v>
      </c>
      <c r="AB75" s="24">
        <f t="shared" si="189"/>
        <v>0</v>
      </c>
      <c r="AC75" s="24">
        <f t="shared" si="190"/>
        <v>0</v>
      </c>
      <c r="AD75" s="24">
        <f t="shared" si="191"/>
        <v>0</v>
      </c>
      <c r="AE75" s="24">
        <f t="shared" si="192"/>
        <v>0</v>
      </c>
      <c r="AF75" s="24"/>
      <c r="AG75" s="24"/>
      <c r="AH75" s="183">
        <f t="shared" si="193"/>
        <v>0</v>
      </c>
      <c r="AI75" s="183">
        <f t="shared" si="194"/>
        <v>4</v>
      </c>
      <c r="AJ75" s="24">
        <f t="shared" si="195"/>
        <v>0</v>
      </c>
      <c r="AK75" s="24">
        <f t="shared" si="195"/>
        <v>0</v>
      </c>
      <c r="AL75" s="24">
        <f t="shared" si="195"/>
        <v>0</v>
      </c>
      <c r="AM75" s="24">
        <f t="shared" si="195"/>
        <v>0</v>
      </c>
      <c r="AN75" s="24"/>
      <c r="AO75" s="24"/>
      <c r="AP75" s="183">
        <f t="shared" si="196"/>
        <v>0</v>
      </c>
      <c r="AQ75" s="183">
        <f t="shared" si="197"/>
        <v>0</v>
      </c>
      <c r="AR75" s="24"/>
      <c r="AS75" s="24"/>
      <c r="AT75" s="24"/>
      <c r="AU75" s="24"/>
    </row>
    <row r="76" spans="1:48" ht="37.5" x14ac:dyDescent="0.4">
      <c r="A76" s="24" t="s">
        <v>512</v>
      </c>
      <c r="B76" s="147" t="s">
        <v>546</v>
      </c>
      <c r="C76" s="26" t="s">
        <v>65</v>
      </c>
      <c r="D76" s="10"/>
      <c r="E76" s="193" t="s">
        <v>461</v>
      </c>
      <c r="F76" s="10" t="s">
        <v>0</v>
      </c>
      <c r="G76" s="10" t="s">
        <v>0</v>
      </c>
      <c r="H76" s="10" t="s">
        <v>0</v>
      </c>
      <c r="I76" s="10" t="s">
        <v>0</v>
      </c>
      <c r="J76" s="10" t="s">
        <v>0</v>
      </c>
      <c r="K76" s="182" t="s">
        <v>72</v>
      </c>
      <c r="L76" s="184">
        <f>IFERROR(VLOOKUP(K76,選択肢リスト!$B$3:$C$6,2,FALSE),M76)</f>
        <v>0</v>
      </c>
      <c r="M76" s="24">
        <v>0</v>
      </c>
      <c r="N76" s="24"/>
      <c r="O76" s="24">
        <v>2</v>
      </c>
      <c r="P76" s="204"/>
      <c r="Q76" s="203">
        <v>2</v>
      </c>
      <c r="R76" s="149" t="str">
        <f t="shared" si="184"/>
        <v>〇</v>
      </c>
      <c r="S76" s="24"/>
      <c r="T76" s="24"/>
      <c r="U76" s="24"/>
      <c r="V76" s="24"/>
      <c r="W76" s="24"/>
      <c r="X76" s="24">
        <f t="shared" si="185"/>
        <v>0</v>
      </c>
      <c r="Y76" s="24">
        <f t="shared" si="186"/>
        <v>0</v>
      </c>
      <c r="Z76" s="184">
        <f t="shared" si="187"/>
        <v>0</v>
      </c>
      <c r="AA76" s="184">
        <f t="shared" si="188"/>
        <v>0</v>
      </c>
      <c r="AB76" s="24">
        <f t="shared" si="189"/>
        <v>0</v>
      </c>
      <c r="AC76" s="24">
        <f t="shared" si="190"/>
        <v>0</v>
      </c>
      <c r="AD76" s="24">
        <f t="shared" si="191"/>
        <v>0</v>
      </c>
      <c r="AE76" s="24">
        <f t="shared" si="192"/>
        <v>0</v>
      </c>
      <c r="AF76" s="24"/>
      <c r="AG76" s="24"/>
      <c r="AH76" s="183">
        <f t="shared" si="193"/>
        <v>0</v>
      </c>
      <c r="AI76" s="183">
        <f t="shared" si="194"/>
        <v>4</v>
      </c>
      <c r="AJ76" s="24">
        <f t="shared" si="195"/>
        <v>0</v>
      </c>
      <c r="AK76" s="24">
        <f t="shared" si="195"/>
        <v>0</v>
      </c>
      <c r="AL76" s="24">
        <f t="shared" si="195"/>
        <v>0</v>
      </c>
      <c r="AM76" s="24">
        <f t="shared" si="195"/>
        <v>0</v>
      </c>
      <c r="AN76" s="24"/>
      <c r="AO76" s="24"/>
      <c r="AP76" s="183">
        <f t="shared" si="196"/>
        <v>0</v>
      </c>
      <c r="AQ76" s="183">
        <f t="shared" si="197"/>
        <v>0</v>
      </c>
      <c r="AR76" s="24"/>
      <c r="AS76" s="24"/>
      <c r="AT76" s="24"/>
      <c r="AU76" s="24"/>
    </row>
    <row r="77" spans="1:48" ht="37.5" x14ac:dyDescent="0.4">
      <c r="A77" s="24" t="s">
        <v>512</v>
      </c>
      <c r="B77" s="147" t="s">
        <v>548</v>
      </c>
      <c r="C77" s="26" t="s">
        <v>65</v>
      </c>
      <c r="D77" s="10"/>
      <c r="E77" s="193" t="s">
        <v>494</v>
      </c>
      <c r="F77" s="10" t="s">
        <v>0</v>
      </c>
      <c r="G77" s="10" t="s">
        <v>0</v>
      </c>
      <c r="H77" s="10" t="s">
        <v>0</v>
      </c>
      <c r="I77" s="10" t="s">
        <v>0</v>
      </c>
      <c r="J77" s="10" t="s">
        <v>0</v>
      </c>
      <c r="K77" s="182" t="s">
        <v>72</v>
      </c>
      <c r="L77" s="184">
        <f>IFERROR(VLOOKUP(K77,選択肢リスト!$B$3:$C$6,2,FALSE),M77)</f>
        <v>0</v>
      </c>
      <c r="M77" s="24">
        <v>0</v>
      </c>
      <c r="N77" s="24"/>
      <c r="O77" s="24">
        <v>2</v>
      </c>
      <c r="P77" s="204"/>
      <c r="Q77" s="203">
        <v>2</v>
      </c>
      <c r="R77" s="149" t="str">
        <f t="shared" si="184"/>
        <v>〇</v>
      </c>
      <c r="S77" s="24"/>
      <c r="T77" s="24"/>
      <c r="U77" s="24"/>
      <c r="V77" s="24"/>
      <c r="W77" s="24"/>
      <c r="X77" s="24">
        <f t="shared" si="185"/>
        <v>0</v>
      </c>
      <c r="Y77" s="24">
        <f t="shared" si="186"/>
        <v>0</v>
      </c>
      <c r="Z77" s="184">
        <f t="shared" si="187"/>
        <v>0</v>
      </c>
      <c r="AA77" s="184">
        <f t="shared" si="188"/>
        <v>0</v>
      </c>
      <c r="AB77" s="24">
        <f t="shared" si="189"/>
        <v>0</v>
      </c>
      <c r="AC77" s="24">
        <f t="shared" si="190"/>
        <v>0</v>
      </c>
      <c r="AD77" s="24">
        <f t="shared" si="191"/>
        <v>0</v>
      </c>
      <c r="AE77" s="24">
        <f t="shared" si="192"/>
        <v>0</v>
      </c>
      <c r="AF77" s="24"/>
      <c r="AG77" s="24"/>
      <c r="AH77" s="183">
        <f t="shared" si="193"/>
        <v>0</v>
      </c>
      <c r="AI77" s="183">
        <f t="shared" si="194"/>
        <v>4</v>
      </c>
      <c r="AJ77" s="24">
        <f t="shared" si="195"/>
        <v>0</v>
      </c>
      <c r="AK77" s="24">
        <f t="shared" si="195"/>
        <v>0</v>
      </c>
      <c r="AL77" s="24">
        <f t="shared" si="195"/>
        <v>0</v>
      </c>
      <c r="AM77" s="24">
        <f t="shared" si="195"/>
        <v>0</v>
      </c>
      <c r="AN77" s="24"/>
      <c r="AO77" s="24"/>
      <c r="AP77" s="183">
        <f t="shared" si="196"/>
        <v>0</v>
      </c>
      <c r="AQ77" s="183">
        <f t="shared" si="197"/>
        <v>0</v>
      </c>
      <c r="AR77" s="24"/>
      <c r="AS77" s="24"/>
      <c r="AT77" s="24"/>
      <c r="AU77" s="24"/>
    </row>
    <row r="78" spans="1:48" x14ac:dyDescent="0.4">
      <c r="A78" s="24" t="s">
        <v>512</v>
      </c>
      <c r="B78" s="147" t="s">
        <v>547</v>
      </c>
      <c r="C78" s="26" t="s">
        <v>65</v>
      </c>
      <c r="D78" s="10"/>
      <c r="E78" s="193" t="s">
        <v>560</v>
      </c>
      <c r="F78" s="10" t="s">
        <v>0</v>
      </c>
      <c r="G78" s="10" t="s">
        <v>0</v>
      </c>
      <c r="H78" s="10" t="s">
        <v>0</v>
      </c>
      <c r="I78" s="10" t="s">
        <v>0</v>
      </c>
      <c r="J78" s="10" t="s">
        <v>0</v>
      </c>
      <c r="K78" s="182" t="s">
        <v>72</v>
      </c>
      <c r="L78" s="184">
        <f>IFERROR(VLOOKUP(K78,選択肢リスト!$B$3:$C$6,2,FALSE),M78)</f>
        <v>0</v>
      </c>
      <c r="M78" s="24">
        <v>0</v>
      </c>
      <c r="N78" s="24"/>
      <c r="O78" s="24">
        <v>2</v>
      </c>
      <c r="P78" s="204"/>
      <c r="Q78" s="203">
        <v>2</v>
      </c>
      <c r="R78" s="149" t="str">
        <f t="shared" si="184"/>
        <v>〇</v>
      </c>
      <c r="S78" s="24"/>
      <c r="T78" s="24"/>
      <c r="U78" s="24"/>
      <c r="V78" s="24"/>
      <c r="W78" s="24"/>
      <c r="X78" s="24">
        <f t="shared" si="185"/>
        <v>0</v>
      </c>
      <c r="Y78" s="24">
        <f t="shared" si="186"/>
        <v>0</v>
      </c>
      <c r="Z78" s="184">
        <f t="shared" si="187"/>
        <v>0</v>
      </c>
      <c r="AA78" s="184">
        <f t="shared" si="188"/>
        <v>0</v>
      </c>
      <c r="AB78" s="24">
        <f t="shared" si="189"/>
        <v>0</v>
      </c>
      <c r="AC78" s="24">
        <f t="shared" si="190"/>
        <v>0</v>
      </c>
      <c r="AD78" s="24">
        <f t="shared" si="191"/>
        <v>0</v>
      </c>
      <c r="AE78" s="24">
        <f t="shared" si="192"/>
        <v>0</v>
      </c>
      <c r="AF78" s="24"/>
      <c r="AG78" s="24"/>
      <c r="AH78" s="183">
        <f t="shared" si="193"/>
        <v>0</v>
      </c>
      <c r="AI78" s="183">
        <f t="shared" si="194"/>
        <v>4</v>
      </c>
      <c r="AJ78" s="24">
        <f t="shared" si="195"/>
        <v>0</v>
      </c>
      <c r="AK78" s="24">
        <f t="shared" si="195"/>
        <v>0</v>
      </c>
      <c r="AL78" s="24">
        <f t="shared" si="195"/>
        <v>0</v>
      </c>
      <c r="AM78" s="24">
        <f t="shared" si="195"/>
        <v>0</v>
      </c>
      <c r="AN78" s="24"/>
      <c r="AO78" s="24"/>
      <c r="AP78" s="183">
        <f t="shared" si="196"/>
        <v>0</v>
      </c>
      <c r="AQ78" s="183">
        <f t="shared" si="197"/>
        <v>0</v>
      </c>
      <c r="AR78" s="24"/>
      <c r="AS78" s="24"/>
      <c r="AT78" s="24"/>
      <c r="AU78" s="24"/>
    </row>
    <row r="79" spans="1:48" ht="37.5" x14ac:dyDescent="0.4">
      <c r="A79" s="24" t="s">
        <v>512</v>
      </c>
      <c r="B79" s="147" t="s">
        <v>548</v>
      </c>
      <c r="C79" s="26" t="s">
        <v>65</v>
      </c>
      <c r="D79" s="10"/>
      <c r="E79" s="193" t="s">
        <v>561</v>
      </c>
      <c r="F79" s="10" t="s">
        <v>0</v>
      </c>
      <c r="G79" s="10" t="s">
        <v>0</v>
      </c>
      <c r="H79" s="10" t="s">
        <v>0</v>
      </c>
      <c r="I79" s="10" t="s">
        <v>0</v>
      </c>
      <c r="J79" s="10" t="s">
        <v>0</v>
      </c>
      <c r="K79" s="182" t="s">
        <v>72</v>
      </c>
      <c r="L79" s="184">
        <f>IFERROR(VLOOKUP(K79,選択肢リスト!$B$3:$C$6,2,FALSE),M79)</f>
        <v>0</v>
      </c>
      <c r="M79" s="24">
        <v>0</v>
      </c>
      <c r="N79" s="24"/>
      <c r="O79" s="24">
        <v>2</v>
      </c>
      <c r="P79" s="204"/>
      <c r="Q79" s="203">
        <v>2</v>
      </c>
      <c r="R79" s="149" t="str">
        <f t="shared" si="184"/>
        <v>〇</v>
      </c>
      <c r="S79" s="24"/>
      <c r="T79" s="24"/>
      <c r="U79" s="24"/>
      <c r="V79" s="24"/>
      <c r="W79" s="24"/>
      <c r="X79" s="24">
        <f t="shared" si="185"/>
        <v>0</v>
      </c>
      <c r="Y79" s="24">
        <f t="shared" si="186"/>
        <v>0</v>
      </c>
      <c r="Z79" s="184">
        <f t="shared" si="187"/>
        <v>0</v>
      </c>
      <c r="AA79" s="184">
        <f t="shared" si="188"/>
        <v>0</v>
      </c>
      <c r="AB79" s="24">
        <f t="shared" si="189"/>
        <v>0</v>
      </c>
      <c r="AC79" s="24">
        <f t="shared" si="190"/>
        <v>0</v>
      </c>
      <c r="AD79" s="24">
        <f t="shared" si="191"/>
        <v>0</v>
      </c>
      <c r="AE79" s="24">
        <f t="shared" si="192"/>
        <v>0</v>
      </c>
      <c r="AF79" s="24"/>
      <c r="AG79" s="24"/>
      <c r="AH79" s="183">
        <f t="shared" si="193"/>
        <v>0</v>
      </c>
      <c r="AI79" s="183">
        <f t="shared" si="194"/>
        <v>4</v>
      </c>
      <c r="AJ79" s="24">
        <f t="shared" si="195"/>
        <v>0</v>
      </c>
      <c r="AK79" s="24">
        <f t="shared" si="195"/>
        <v>0</v>
      </c>
      <c r="AL79" s="24">
        <f t="shared" si="195"/>
        <v>0</v>
      </c>
      <c r="AM79" s="24">
        <f t="shared" si="195"/>
        <v>0</v>
      </c>
      <c r="AN79" s="24"/>
      <c r="AO79" s="24"/>
      <c r="AP79" s="183">
        <f t="shared" si="196"/>
        <v>0</v>
      </c>
      <c r="AQ79" s="183">
        <f t="shared" si="197"/>
        <v>0</v>
      </c>
      <c r="AR79" s="24"/>
      <c r="AS79" s="24"/>
      <c r="AT79" s="24"/>
      <c r="AU79" s="24"/>
    </row>
    <row r="80" spans="1:48" x14ac:dyDescent="0.4">
      <c r="A80" s="24" t="s">
        <v>512</v>
      </c>
      <c r="B80" s="10"/>
      <c r="C80" s="29" t="s">
        <v>66</v>
      </c>
      <c r="D80" s="10"/>
      <c r="E80" s="25" t="s">
        <v>126</v>
      </c>
      <c r="F80" s="10" t="s">
        <v>0</v>
      </c>
      <c r="G80" s="10" t="s">
        <v>0</v>
      </c>
      <c r="H80" s="10" t="s">
        <v>0</v>
      </c>
      <c r="I80" s="10" t="s">
        <v>0</v>
      </c>
      <c r="J80" s="10" t="s">
        <v>0</v>
      </c>
      <c r="K80" s="27" t="e">
        <f>IF(#REF!="","",#REF!)</f>
        <v>#REF!</v>
      </c>
      <c r="L80" s="28">
        <f>IFERROR(VLOOKUP(K80,選択肢リスト!$F$3:$G$7,2,FALSE),M80)</f>
        <v>0</v>
      </c>
      <c r="M80" s="24">
        <v>0</v>
      </c>
      <c r="N80" s="24"/>
      <c r="O80" s="24"/>
      <c r="P80" s="24"/>
      <c r="Q80" s="24"/>
      <c r="R80" s="149" t="str">
        <f t="shared" si="184"/>
        <v/>
      </c>
      <c r="S80" s="24"/>
      <c r="T80" s="24">
        <v>2</v>
      </c>
      <c r="U80" s="24"/>
      <c r="V80" s="24"/>
      <c r="W80" s="24"/>
      <c r="X80" s="24">
        <f t="shared" si="185"/>
        <v>0</v>
      </c>
      <c r="Y80" s="24">
        <f t="shared" si="186"/>
        <v>0</v>
      </c>
      <c r="Z80" s="28">
        <f t="shared" si="187"/>
        <v>0</v>
      </c>
      <c r="AA80" s="28">
        <f t="shared" si="188"/>
        <v>0</v>
      </c>
      <c r="AB80" s="24">
        <f t="shared" si="189"/>
        <v>0</v>
      </c>
      <c r="AC80" s="24">
        <f t="shared" si="190"/>
        <v>0</v>
      </c>
      <c r="AD80" s="24">
        <f t="shared" si="191"/>
        <v>0</v>
      </c>
      <c r="AE80" s="24">
        <f t="shared" si="192"/>
        <v>0</v>
      </c>
      <c r="AF80" s="24"/>
      <c r="AG80" s="24"/>
      <c r="AH80" s="28"/>
      <c r="AI80" s="28"/>
      <c r="AJ80" s="24"/>
      <c r="AK80" s="24"/>
      <c r="AL80" s="24"/>
      <c r="AM80" s="24"/>
      <c r="AN80" s="24"/>
      <c r="AO80" s="24"/>
      <c r="AP80" s="28"/>
      <c r="AQ80" s="28"/>
      <c r="AR80" s="24"/>
      <c r="AS80" s="24"/>
      <c r="AT80" s="24"/>
      <c r="AU80" s="24"/>
      <c r="AV80" s="189"/>
    </row>
    <row r="81" spans="1:48" x14ac:dyDescent="0.4">
      <c r="A81" s="24"/>
      <c r="B81" s="10"/>
      <c r="C81" s="10"/>
      <c r="D81" s="10"/>
      <c r="E81" s="25"/>
      <c r="F81" s="10"/>
      <c r="G81" s="10"/>
      <c r="H81" s="10"/>
      <c r="I81" s="10"/>
      <c r="J81" s="10"/>
      <c r="K81" s="23" t="e">
        <f>IF(#REF!="","",#REF!)</f>
        <v>#REF!</v>
      </c>
      <c r="L81" s="10"/>
      <c r="M81" s="24"/>
      <c r="N81" s="24"/>
      <c r="O81" s="24"/>
      <c r="P81" s="24"/>
      <c r="Q81" s="24"/>
      <c r="R81" s="149" t="str">
        <f t="shared" si="184"/>
        <v/>
      </c>
      <c r="S81" s="24"/>
      <c r="T81" s="24"/>
      <c r="U81" s="24"/>
      <c r="V81" s="24"/>
      <c r="W81" s="24"/>
      <c r="X81" s="24"/>
      <c r="Y81" s="24"/>
      <c r="Z81" s="10"/>
      <c r="AA81" s="10"/>
      <c r="AB81" s="24"/>
      <c r="AC81" s="24"/>
      <c r="AD81" s="24"/>
      <c r="AE81" s="24"/>
      <c r="AF81" s="24"/>
      <c r="AG81" s="24"/>
      <c r="AH81" s="10"/>
      <c r="AI81" s="10"/>
      <c r="AJ81" s="24"/>
      <c r="AK81" s="24"/>
      <c r="AL81" s="24"/>
      <c r="AM81" s="24"/>
      <c r="AN81" s="24"/>
      <c r="AO81" s="24"/>
      <c r="AP81" s="10"/>
      <c r="AQ81" s="10"/>
      <c r="AR81" s="24"/>
      <c r="AS81" s="24"/>
      <c r="AT81" s="24"/>
      <c r="AU81" s="24"/>
      <c r="AV81" s="189"/>
    </row>
    <row r="82" spans="1:48" x14ac:dyDescent="0.4">
      <c r="A82" s="31" t="s">
        <v>515</v>
      </c>
      <c r="B82" s="31"/>
      <c r="C82" s="31" t="s">
        <v>53</v>
      </c>
      <c r="D82" s="32"/>
      <c r="E82" s="195"/>
      <c r="F82" s="32"/>
      <c r="G82" s="32"/>
      <c r="H82" s="32"/>
      <c r="I82" s="32"/>
      <c r="J82" s="32"/>
      <c r="K82" s="33" t="e">
        <f>IF(#REF!="","",#REF!)</f>
        <v>#REF!</v>
      </c>
      <c r="L82" s="32"/>
      <c r="M82" s="34"/>
      <c r="N82" s="34"/>
      <c r="O82" s="34"/>
      <c r="P82" s="202" t="s">
        <v>0</v>
      </c>
      <c r="Q82" s="202" t="s">
        <v>0</v>
      </c>
      <c r="R82" s="32" t="s">
        <v>0</v>
      </c>
      <c r="S82" s="34"/>
      <c r="T82" s="34"/>
      <c r="U82" s="34"/>
      <c r="V82" s="34"/>
      <c r="W82" s="31" t="s">
        <v>106</v>
      </c>
      <c r="X82" s="35">
        <f t="shared" ref="X82:AE82" si="198">SUM(X83:X96)</f>
        <v>0</v>
      </c>
      <c r="Y82" s="35">
        <f t="shared" si="198"/>
        <v>0</v>
      </c>
      <c r="Z82" s="35">
        <f t="shared" si="198"/>
        <v>-1</v>
      </c>
      <c r="AA82" s="35">
        <f t="shared" si="198"/>
        <v>-1</v>
      </c>
      <c r="AB82" s="35">
        <f t="shared" si="198"/>
        <v>0</v>
      </c>
      <c r="AC82" s="35">
        <f t="shared" si="198"/>
        <v>0</v>
      </c>
      <c r="AD82" s="35">
        <f t="shared" si="198"/>
        <v>0</v>
      </c>
      <c r="AE82" s="35">
        <f t="shared" si="198"/>
        <v>0</v>
      </c>
      <c r="AF82" s="35"/>
      <c r="AG82" s="35"/>
      <c r="AH82" s="35">
        <f>SUM(AH83:AH96)</f>
        <v>3</v>
      </c>
      <c r="AI82" s="35">
        <f t="shared" ref="AI82:AM82" si="199">SUM(AI83:AI96)</f>
        <v>21</v>
      </c>
      <c r="AJ82" s="35">
        <f t="shared" si="199"/>
        <v>0</v>
      </c>
      <c r="AK82" s="35">
        <f t="shared" si="199"/>
        <v>0</v>
      </c>
      <c r="AL82" s="35">
        <f t="shared" si="199"/>
        <v>0</v>
      </c>
      <c r="AM82" s="35">
        <f t="shared" si="199"/>
        <v>0</v>
      </c>
      <c r="AN82" s="35"/>
      <c r="AO82" s="35"/>
      <c r="AP82" s="35">
        <f t="shared" ref="AP82:AQ82" si="200">SUM(AP83:AP96)</f>
        <v>-1</v>
      </c>
      <c r="AQ82" s="35">
        <f t="shared" si="200"/>
        <v>-1</v>
      </c>
      <c r="AR82" s="35"/>
      <c r="AS82" s="35"/>
      <c r="AT82" s="35"/>
      <c r="AU82" s="35"/>
      <c r="AV82" s="189"/>
    </row>
    <row r="83" spans="1:48" x14ac:dyDescent="0.4">
      <c r="A83" s="24" t="s">
        <v>515</v>
      </c>
      <c r="B83" s="147" t="s">
        <v>555</v>
      </c>
      <c r="C83" s="26" t="s">
        <v>65</v>
      </c>
      <c r="D83" s="10"/>
      <c r="E83" s="193" t="s">
        <v>485</v>
      </c>
      <c r="F83" s="10" t="s">
        <v>0</v>
      </c>
      <c r="G83" s="10"/>
      <c r="H83" s="10" t="s">
        <v>0</v>
      </c>
      <c r="I83" s="10" t="s">
        <v>0</v>
      </c>
      <c r="J83" s="10" t="s">
        <v>0</v>
      </c>
      <c r="K83" s="182" t="s">
        <v>72</v>
      </c>
      <c r="L83" s="184">
        <f>IFERROR(VLOOKUP(K83,選択肢リスト!$B$3:$C$6,2,FALSE),M83)</f>
        <v>0</v>
      </c>
      <c r="M83" s="24">
        <v>0</v>
      </c>
      <c r="N83" s="24"/>
      <c r="O83" s="24">
        <v>1</v>
      </c>
      <c r="P83" s="204"/>
      <c r="Q83" s="203">
        <v>2</v>
      </c>
      <c r="R83" s="149" t="str">
        <f t="shared" si="113"/>
        <v>〇</v>
      </c>
      <c r="S83" s="24"/>
      <c r="T83" s="24"/>
      <c r="U83" s="24"/>
      <c r="V83" s="24"/>
      <c r="W83" s="24"/>
      <c r="X83" s="24">
        <f>$L83*N83</f>
        <v>0</v>
      </c>
      <c r="Y83" s="24">
        <f t="shared" ref="Y83:Y84" si="201">$L83*O83</f>
        <v>0</v>
      </c>
      <c r="Z83" s="184">
        <f t="shared" ref="Z83:Z84" si="202">$L83*P83</f>
        <v>0</v>
      </c>
      <c r="AA83" s="184">
        <f t="shared" ref="AA83:AA84" si="203">$L83*Q83</f>
        <v>0</v>
      </c>
      <c r="AB83" s="24">
        <f t="shared" ref="AB83:AB84" si="204">$L83*S83</f>
        <v>0</v>
      </c>
      <c r="AC83" s="24">
        <f t="shared" ref="AC83:AC84" si="205">$L83*T83</f>
        <v>0</v>
      </c>
      <c r="AD83" s="24">
        <f t="shared" ref="AD83:AD84" si="206">$L83*U83</f>
        <v>0</v>
      </c>
      <c r="AE83" s="24">
        <f t="shared" ref="AE83:AE84" si="207">$L83*V83</f>
        <v>0</v>
      </c>
      <c r="AF83" s="24"/>
      <c r="AG83" s="24"/>
      <c r="AH83" s="183">
        <f>IF(K83="△不明",0,IF(C83="リスク確認",2*P83,IF(C83="対策確認",1*P83,"ERROR")))</f>
        <v>0</v>
      </c>
      <c r="AI83" s="183">
        <f>IF(K83="△不明",0,IF(C83="リスク確認",2*Q83,IF(C83="対策確認",1*Q83,"ERROR")))</f>
        <v>4</v>
      </c>
      <c r="AJ83" s="24">
        <f t="shared" ref="AJ83:AM89" si="208">S83*$M83</f>
        <v>0</v>
      </c>
      <c r="AK83" s="24">
        <f t="shared" si="208"/>
        <v>0</v>
      </c>
      <c r="AL83" s="24">
        <f t="shared" si="208"/>
        <v>0</v>
      </c>
      <c r="AM83" s="24">
        <f t="shared" si="208"/>
        <v>0</v>
      </c>
      <c r="AN83" s="24"/>
      <c r="AO83" s="24"/>
      <c r="AP83" s="183">
        <f>IF(K83="△不明",0,IF(C83="リスク確認",0*P83,IF(C83="対策確認",-1*P83,"ERROR")))</f>
        <v>0</v>
      </c>
      <c r="AQ83" s="183">
        <f>IF(K83="△不明",0,IF(C83="リスク確認",0*Q83,IF(C83="対策確認",-1*Q83,"ERROR")))</f>
        <v>0</v>
      </c>
      <c r="AR83" s="24"/>
      <c r="AS83" s="24"/>
      <c r="AT83" s="24"/>
      <c r="AU83" s="24"/>
      <c r="AV83" s="186" t="s">
        <v>606</v>
      </c>
    </row>
    <row r="84" spans="1:48" x14ac:dyDescent="0.4">
      <c r="A84" s="24" t="s">
        <v>515</v>
      </c>
      <c r="B84" s="147" t="s">
        <v>146</v>
      </c>
      <c r="C84" s="26" t="s">
        <v>65</v>
      </c>
      <c r="D84" s="10"/>
      <c r="E84" s="193" t="s">
        <v>486</v>
      </c>
      <c r="F84" s="10" t="s">
        <v>0</v>
      </c>
      <c r="G84" s="10" t="s">
        <v>0</v>
      </c>
      <c r="H84" s="10" t="s">
        <v>0</v>
      </c>
      <c r="I84" s="10" t="s">
        <v>0</v>
      </c>
      <c r="J84" s="10" t="s">
        <v>0</v>
      </c>
      <c r="K84" s="182" t="s">
        <v>72</v>
      </c>
      <c r="L84" s="184">
        <f>IFERROR(VLOOKUP(K84,選択肢リスト!$B$3:$C$6,2,FALSE),M84)</f>
        <v>0</v>
      </c>
      <c r="M84" s="24">
        <v>0</v>
      </c>
      <c r="N84" s="24"/>
      <c r="O84" s="24">
        <v>1</v>
      </c>
      <c r="P84" s="204"/>
      <c r="Q84" s="203">
        <v>1</v>
      </c>
      <c r="R84" s="149" t="str">
        <f t="shared" si="113"/>
        <v>〇</v>
      </c>
      <c r="S84" s="24"/>
      <c r="T84" s="24"/>
      <c r="U84" s="24"/>
      <c r="V84" s="24"/>
      <c r="W84" s="24"/>
      <c r="X84" s="24">
        <f t="shared" ref="X84" si="209">$L84*N84</f>
        <v>0</v>
      </c>
      <c r="Y84" s="24">
        <f t="shared" si="201"/>
        <v>0</v>
      </c>
      <c r="Z84" s="184">
        <f t="shared" si="202"/>
        <v>0</v>
      </c>
      <c r="AA84" s="184">
        <f t="shared" si="203"/>
        <v>0</v>
      </c>
      <c r="AB84" s="24">
        <f t="shared" si="204"/>
        <v>0</v>
      </c>
      <c r="AC84" s="24">
        <f t="shared" si="205"/>
        <v>0</v>
      </c>
      <c r="AD84" s="24">
        <f t="shared" si="206"/>
        <v>0</v>
      </c>
      <c r="AE84" s="24">
        <f t="shared" si="207"/>
        <v>0</v>
      </c>
      <c r="AF84" s="24"/>
      <c r="AG84" s="24"/>
      <c r="AH84" s="226" t="s">
        <v>500</v>
      </c>
      <c r="AI84" s="227"/>
      <c r="AJ84" s="24">
        <f t="shared" si="208"/>
        <v>0</v>
      </c>
      <c r="AK84" s="24">
        <f t="shared" si="208"/>
        <v>0</v>
      </c>
      <c r="AL84" s="24">
        <f t="shared" si="208"/>
        <v>0</v>
      </c>
      <c r="AM84" s="24">
        <f t="shared" si="208"/>
        <v>0</v>
      </c>
      <c r="AN84" s="24"/>
      <c r="AO84" s="24"/>
      <c r="AP84" s="226" t="s">
        <v>501</v>
      </c>
      <c r="AQ84" s="227"/>
      <c r="AR84" s="24"/>
      <c r="AS84" s="24"/>
      <c r="AT84" s="24"/>
      <c r="AU84" s="24"/>
    </row>
    <row r="85" spans="1:48" x14ac:dyDescent="0.4">
      <c r="A85" s="24" t="s">
        <v>515</v>
      </c>
      <c r="B85" s="147" t="s">
        <v>147</v>
      </c>
      <c r="C85" s="26" t="s">
        <v>65</v>
      </c>
      <c r="D85" s="10"/>
      <c r="E85" s="193" t="s">
        <v>487</v>
      </c>
      <c r="F85" s="10" t="s">
        <v>0</v>
      </c>
      <c r="G85" s="10"/>
      <c r="H85" s="10" t="s">
        <v>0</v>
      </c>
      <c r="I85" s="10" t="s">
        <v>0</v>
      </c>
      <c r="J85" s="10" t="s">
        <v>0</v>
      </c>
      <c r="K85" s="182" t="s">
        <v>72</v>
      </c>
      <c r="L85" s="184">
        <f>IFERROR(VLOOKUP(K85,選択肢リスト!$B$3:$C$6,2,FALSE),M85)</f>
        <v>0</v>
      </c>
      <c r="M85" s="24">
        <v>0</v>
      </c>
      <c r="N85" s="24"/>
      <c r="O85" s="24">
        <v>1</v>
      </c>
      <c r="P85" s="204"/>
      <c r="Q85" s="203">
        <v>2</v>
      </c>
      <c r="R85" s="149" t="str">
        <f t="shared" si="113"/>
        <v>〇</v>
      </c>
      <c r="S85" s="24"/>
      <c r="T85" s="24"/>
      <c r="U85" s="24"/>
      <c r="V85" s="24"/>
      <c r="W85" s="24"/>
      <c r="X85" s="24">
        <f>$L85*N85</f>
        <v>0</v>
      </c>
      <c r="Y85" s="24">
        <f t="shared" ref="Y85:Y86" si="210">$L85*O85</f>
        <v>0</v>
      </c>
      <c r="Z85" s="184">
        <f t="shared" ref="Z85:Z86" si="211">$L85*P85</f>
        <v>0</v>
      </c>
      <c r="AA85" s="184">
        <f t="shared" ref="AA85:AA86" si="212">$L85*Q85</f>
        <v>0</v>
      </c>
      <c r="AB85" s="24">
        <f t="shared" ref="AB85:AB86" si="213">$L85*S85</f>
        <v>0</v>
      </c>
      <c r="AC85" s="24">
        <f t="shared" ref="AC85:AC86" si="214">$L85*T85</f>
        <v>0</v>
      </c>
      <c r="AD85" s="24">
        <f t="shared" ref="AD85:AD86" si="215">$L85*U85</f>
        <v>0</v>
      </c>
      <c r="AE85" s="24">
        <f t="shared" ref="AE85:AE86" si="216">$L85*V85</f>
        <v>0</v>
      </c>
      <c r="AF85" s="24"/>
      <c r="AG85" s="24"/>
      <c r="AH85" s="183">
        <f>IF(K85="△不明",0,IF(C85="リスク確認",2*P85,IF(C85="対策確認",1*P85,"ERROR")))</f>
        <v>0</v>
      </c>
      <c r="AI85" s="183">
        <f>IF(K85="△不明",0,IF(C85="リスク確認",2*Q85,IF(C85="対策確認",1*Q85,"ERROR")))</f>
        <v>4</v>
      </c>
      <c r="AJ85" s="24">
        <f t="shared" si="208"/>
        <v>0</v>
      </c>
      <c r="AK85" s="24">
        <f t="shared" si="208"/>
        <v>0</v>
      </c>
      <c r="AL85" s="24">
        <f t="shared" si="208"/>
        <v>0</v>
      </c>
      <c r="AM85" s="24">
        <f t="shared" si="208"/>
        <v>0</v>
      </c>
      <c r="AN85" s="24"/>
      <c r="AO85" s="24"/>
      <c r="AP85" s="183">
        <f>IF(K85="△不明",0,IF(C85="リスク確認",0*P85,IF(C85="対策確認",-1*P85,"ERROR")))</f>
        <v>0</v>
      </c>
      <c r="AQ85" s="183">
        <f>IF(K85="△不明",0,IF(C85="リスク確認",0*Q85,IF(C85="対策確認",-1*Q85,"ERROR")))</f>
        <v>0</v>
      </c>
      <c r="AR85" s="24"/>
      <c r="AS85" s="24"/>
      <c r="AT85" s="24"/>
      <c r="AU85" s="24"/>
    </row>
    <row r="86" spans="1:48" x14ac:dyDescent="0.4">
      <c r="A86" s="24" t="s">
        <v>515</v>
      </c>
      <c r="B86" s="147" t="s">
        <v>148</v>
      </c>
      <c r="C86" s="26" t="s">
        <v>65</v>
      </c>
      <c r="D86" s="10"/>
      <c r="E86" s="193" t="s">
        <v>488</v>
      </c>
      <c r="F86" s="10" t="s">
        <v>0</v>
      </c>
      <c r="G86" s="10" t="s">
        <v>0</v>
      </c>
      <c r="H86" s="10" t="s">
        <v>0</v>
      </c>
      <c r="I86" s="10" t="s">
        <v>0</v>
      </c>
      <c r="J86" s="10" t="s">
        <v>0</v>
      </c>
      <c r="K86" s="182" t="s">
        <v>72</v>
      </c>
      <c r="L86" s="184">
        <f>IFERROR(VLOOKUP(K86,選択肢リスト!$B$3:$C$6,2,FALSE),M86)</f>
        <v>0</v>
      </c>
      <c r="M86" s="24">
        <v>0</v>
      </c>
      <c r="N86" s="24"/>
      <c r="O86" s="24">
        <v>1</v>
      </c>
      <c r="P86" s="204"/>
      <c r="Q86" s="203">
        <v>1</v>
      </c>
      <c r="R86" s="149" t="str">
        <f t="shared" si="113"/>
        <v>〇</v>
      </c>
      <c r="S86" s="24"/>
      <c r="T86" s="24"/>
      <c r="U86" s="24"/>
      <c r="V86" s="24"/>
      <c r="W86" s="24"/>
      <c r="X86" s="24">
        <f t="shared" ref="X86" si="217">$L86*N86</f>
        <v>0</v>
      </c>
      <c r="Y86" s="24">
        <f t="shared" si="210"/>
        <v>0</v>
      </c>
      <c r="Z86" s="184">
        <f t="shared" si="211"/>
        <v>0</v>
      </c>
      <c r="AA86" s="184">
        <f t="shared" si="212"/>
        <v>0</v>
      </c>
      <c r="AB86" s="24">
        <f t="shared" si="213"/>
        <v>0</v>
      </c>
      <c r="AC86" s="24">
        <f t="shared" si="214"/>
        <v>0</v>
      </c>
      <c r="AD86" s="24">
        <f t="shared" si="215"/>
        <v>0</v>
      </c>
      <c r="AE86" s="24">
        <f t="shared" si="216"/>
        <v>0</v>
      </c>
      <c r="AF86" s="24"/>
      <c r="AG86" s="24"/>
      <c r="AH86" s="226" t="s">
        <v>503</v>
      </c>
      <c r="AI86" s="227"/>
      <c r="AJ86" s="24">
        <f t="shared" si="208"/>
        <v>0</v>
      </c>
      <c r="AK86" s="24">
        <f t="shared" si="208"/>
        <v>0</v>
      </c>
      <c r="AL86" s="24">
        <f t="shared" si="208"/>
        <v>0</v>
      </c>
      <c r="AM86" s="24">
        <f t="shared" si="208"/>
        <v>0</v>
      </c>
      <c r="AN86" s="24"/>
      <c r="AO86" s="24"/>
      <c r="AP86" s="226" t="s">
        <v>502</v>
      </c>
      <c r="AQ86" s="227"/>
      <c r="AR86" s="24"/>
      <c r="AS86" s="24"/>
      <c r="AT86" s="24"/>
      <c r="AU86" s="24"/>
    </row>
    <row r="87" spans="1:48" ht="37.5" x14ac:dyDescent="0.4">
      <c r="A87" s="24" t="s">
        <v>515</v>
      </c>
      <c r="B87" s="147" t="s">
        <v>149</v>
      </c>
      <c r="C87" s="26" t="s">
        <v>65</v>
      </c>
      <c r="D87" s="10"/>
      <c r="E87" s="193" t="s">
        <v>489</v>
      </c>
      <c r="F87" s="10" t="s">
        <v>0</v>
      </c>
      <c r="G87" s="10"/>
      <c r="H87" s="10" t="s">
        <v>0</v>
      </c>
      <c r="I87" s="10" t="s">
        <v>0</v>
      </c>
      <c r="J87" s="10" t="s">
        <v>0</v>
      </c>
      <c r="K87" s="182" t="s">
        <v>72</v>
      </c>
      <c r="L87" s="184">
        <f>IFERROR(VLOOKUP(K87,選択肢リスト!$B$3:$C$6,2,FALSE),M87)</f>
        <v>0</v>
      </c>
      <c r="M87" s="24">
        <v>0</v>
      </c>
      <c r="N87" s="24"/>
      <c r="O87" s="24">
        <v>1</v>
      </c>
      <c r="P87" s="204"/>
      <c r="Q87" s="203">
        <v>2</v>
      </c>
      <c r="R87" s="149" t="str">
        <f t="shared" si="113"/>
        <v>〇</v>
      </c>
      <c r="S87" s="24"/>
      <c r="T87" s="24"/>
      <c r="U87" s="24"/>
      <c r="V87" s="24"/>
      <c r="W87" s="24"/>
      <c r="X87" s="24">
        <f>$L87*N87</f>
        <v>0</v>
      </c>
      <c r="Y87" s="24">
        <f t="shared" ref="Y87:Y88" si="218">$L87*O87</f>
        <v>0</v>
      </c>
      <c r="Z87" s="184">
        <f t="shared" ref="Z87:Z88" si="219">$L87*P87</f>
        <v>0</v>
      </c>
      <c r="AA87" s="184">
        <f t="shared" ref="AA87:AA88" si="220">$L87*Q87</f>
        <v>0</v>
      </c>
      <c r="AB87" s="24">
        <f t="shared" ref="AB87:AB88" si="221">$L87*S87</f>
        <v>0</v>
      </c>
      <c r="AC87" s="24">
        <f t="shared" ref="AC87:AC88" si="222">$L87*T87</f>
        <v>0</v>
      </c>
      <c r="AD87" s="24">
        <f t="shared" ref="AD87:AD88" si="223">$L87*U87</f>
        <v>0</v>
      </c>
      <c r="AE87" s="24">
        <f t="shared" ref="AE87:AE88" si="224">$L87*V87</f>
        <v>0</v>
      </c>
      <c r="AF87" s="24"/>
      <c r="AG87" s="24"/>
      <c r="AH87" s="183">
        <f>IF(K87="△不明",0,IF(C87="リスク確認",2*P87,IF(C87="対策確認",1*P87,"ERROR")))</f>
        <v>0</v>
      </c>
      <c r="AI87" s="183">
        <f>IF(K87="△不明",0,IF(C87="リスク確認",2*Q87,IF(C87="対策確認",1*Q87,"ERROR")))</f>
        <v>4</v>
      </c>
      <c r="AJ87" s="24">
        <f t="shared" si="208"/>
        <v>0</v>
      </c>
      <c r="AK87" s="24">
        <f t="shared" si="208"/>
        <v>0</v>
      </c>
      <c r="AL87" s="24">
        <f t="shared" si="208"/>
        <v>0</v>
      </c>
      <c r="AM87" s="24">
        <f t="shared" si="208"/>
        <v>0</v>
      </c>
      <c r="AN87" s="24"/>
      <c r="AO87" s="24"/>
      <c r="AP87" s="183">
        <f>IF(K87="△不明",0,IF(C87="リスク確認",0*P87,IF(C87="対策確認",-1*P87,"ERROR")))</f>
        <v>0</v>
      </c>
      <c r="AQ87" s="183">
        <f>IF(K87="△不明",0,IF(C87="リスク確認",0*Q87,IF(C87="対策確認",-1*Q87,"ERROR")))</f>
        <v>0</v>
      </c>
      <c r="AR87" s="24"/>
      <c r="AS87" s="24"/>
      <c r="AT87" s="24"/>
      <c r="AU87" s="24"/>
    </row>
    <row r="88" spans="1:48" ht="37.5" x14ac:dyDescent="0.4">
      <c r="A88" s="24" t="s">
        <v>515</v>
      </c>
      <c r="B88" s="147" t="s">
        <v>556</v>
      </c>
      <c r="C88" s="26" t="s">
        <v>65</v>
      </c>
      <c r="D88" s="10"/>
      <c r="E88" s="193" t="s">
        <v>490</v>
      </c>
      <c r="F88" s="10" t="s">
        <v>0</v>
      </c>
      <c r="G88" s="10" t="s">
        <v>0</v>
      </c>
      <c r="H88" s="10" t="s">
        <v>0</v>
      </c>
      <c r="I88" s="10" t="s">
        <v>0</v>
      </c>
      <c r="J88" s="10" t="s">
        <v>0</v>
      </c>
      <c r="K88" s="182" t="s">
        <v>72</v>
      </c>
      <c r="L88" s="184">
        <f>IFERROR(VLOOKUP(K88,選択肢リスト!$B$3:$C$6,2,FALSE),M88)</f>
        <v>0</v>
      </c>
      <c r="M88" s="24">
        <v>0</v>
      </c>
      <c r="N88" s="24"/>
      <c r="O88" s="24">
        <v>1</v>
      </c>
      <c r="P88" s="204"/>
      <c r="Q88" s="203">
        <v>1</v>
      </c>
      <c r="R88" s="149" t="str">
        <f t="shared" si="113"/>
        <v>〇</v>
      </c>
      <c r="S88" s="24"/>
      <c r="T88" s="24"/>
      <c r="U88" s="24"/>
      <c r="V88" s="24"/>
      <c r="W88" s="24"/>
      <c r="X88" s="24">
        <f t="shared" ref="X88" si="225">$L88*N88</f>
        <v>0</v>
      </c>
      <c r="Y88" s="24">
        <f t="shared" si="218"/>
        <v>0</v>
      </c>
      <c r="Z88" s="184">
        <f t="shared" si="219"/>
        <v>0</v>
      </c>
      <c r="AA88" s="184">
        <f t="shared" si="220"/>
        <v>0</v>
      </c>
      <c r="AB88" s="24">
        <f t="shared" si="221"/>
        <v>0</v>
      </c>
      <c r="AC88" s="24">
        <f t="shared" si="222"/>
        <v>0</v>
      </c>
      <c r="AD88" s="24">
        <f t="shared" si="223"/>
        <v>0</v>
      </c>
      <c r="AE88" s="24">
        <f t="shared" si="224"/>
        <v>0</v>
      </c>
      <c r="AF88" s="24"/>
      <c r="AG88" s="24"/>
      <c r="AH88" s="226" t="s">
        <v>505</v>
      </c>
      <c r="AI88" s="227"/>
      <c r="AJ88" s="24">
        <f t="shared" si="208"/>
        <v>0</v>
      </c>
      <c r="AK88" s="24">
        <f t="shared" si="208"/>
        <v>0</v>
      </c>
      <c r="AL88" s="24">
        <f t="shared" si="208"/>
        <v>0</v>
      </c>
      <c r="AM88" s="24">
        <f t="shared" si="208"/>
        <v>0</v>
      </c>
      <c r="AN88" s="24"/>
      <c r="AO88" s="24"/>
      <c r="AP88" s="226" t="s">
        <v>504</v>
      </c>
      <c r="AQ88" s="227"/>
      <c r="AR88" s="24"/>
      <c r="AS88" s="24"/>
      <c r="AT88" s="24"/>
      <c r="AU88" s="24"/>
    </row>
    <row r="89" spans="1:48" ht="37.5" x14ac:dyDescent="0.4">
      <c r="A89" s="24" t="s">
        <v>515</v>
      </c>
      <c r="B89" s="147" t="s">
        <v>549</v>
      </c>
      <c r="C89" s="26" t="s">
        <v>65</v>
      </c>
      <c r="D89" s="10"/>
      <c r="E89" s="193" t="s">
        <v>465</v>
      </c>
      <c r="F89" s="10" t="s">
        <v>0</v>
      </c>
      <c r="G89" s="10"/>
      <c r="H89" s="10" t="s">
        <v>0</v>
      </c>
      <c r="I89" s="10" t="s">
        <v>0</v>
      </c>
      <c r="J89" s="10" t="s">
        <v>0</v>
      </c>
      <c r="K89" s="182" t="s">
        <v>72</v>
      </c>
      <c r="L89" s="184">
        <f>IFERROR(VLOOKUP(K89,選択肢リスト!$B$3:$C$6,2,FALSE),M89)</f>
        <v>0</v>
      </c>
      <c r="M89" s="24">
        <v>0</v>
      </c>
      <c r="N89" s="24"/>
      <c r="O89" s="24">
        <v>1</v>
      </c>
      <c r="P89" s="204"/>
      <c r="Q89" s="203">
        <v>3</v>
      </c>
      <c r="R89" s="149" t="str">
        <f t="shared" si="113"/>
        <v>〇</v>
      </c>
      <c r="S89" s="24"/>
      <c r="T89" s="24"/>
      <c r="U89" s="24"/>
      <c r="V89" s="24"/>
      <c r="W89" s="24"/>
      <c r="X89" s="24">
        <f>$L89*N89</f>
        <v>0</v>
      </c>
      <c r="Y89" s="24">
        <f>$L89*O89</f>
        <v>0</v>
      </c>
      <c r="Z89" s="184">
        <f>$L89*P89</f>
        <v>0</v>
      </c>
      <c r="AA89" s="184">
        <f>$L89*Q89</f>
        <v>0</v>
      </c>
      <c r="AB89" s="24">
        <f t="shared" ref="AB89:AE89" si="226">$L89*S89</f>
        <v>0</v>
      </c>
      <c r="AC89" s="24">
        <f t="shared" si="226"/>
        <v>0</v>
      </c>
      <c r="AD89" s="24">
        <f t="shared" si="226"/>
        <v>0</v>
      </c>
      <c r="AE89" s="24">
        <f t="shared" si="226"/>
        <v>0</v>
      </c>
      <c r="AF89" s="24"/>
      <c r="AG89" s="24"/>
      <c r="AH89" s="183">
        <f>IF(K89="△不明",0,IF(C89="リスク確認",2*P89,IF(C89="対策確認",1*P89,"ERROR")))</f>
        <v>0</v>
      </c>
      <c r="AI89" s="183">
        <f>IF(K89="△不明",0,IF(C89="リスク確認",2*Q89,IF(C89="対策確認",1*Q89,"ERROR")))</f>
        <v>6</v>
      </c>
      <c r="AJ89" s="24">
        <f t="shared" si="208"/>
        <v>0</v>
      </c>
      <c r="AK89" s="24">
        <f t="shared" si="208"/>
        <v>0</v>
      </c>
      <c r="AL89" s="24">
        <f t="shared" si="208"/>
        <v>0</v>
      </c>
      <c r="AM89" s="24">
        <f t="shared" si="208"/>
        <v>0</v>
      </c>
      <c r="AN89" s="24"/>
      <c r="AO89" s="24"/>
      <c r="AP89" s="183">
        <f>IF(K89="△不明",0,IF(C89="リスク確認",0*P89,IF(C89="対策確認",-1*P89,"ERROR")))</f>
        <v>0</v>
      </c>
      <c r="AQ89" s="183">
        <f>IF(K89="△不明",0,IF(C89="リスク確認",0*Q89,IF(C89="対策確認",-1*Q89,"ERROR")))</f>
        <v>0</v>
      </c>
      <c r="AR89" s="24"/>
      <c r="AS89" s="24"/>
      <c r="AT89" s="24"/>
      <c r="AU89" s="24"/>
    </row>
    <row r="90" spans="1:48" x14ac:dyDescent="0.4">
      <c r="A90" s="24" t="s">
        <v>515</v>
      </c>
      <c r="B90" s="10"/>
      <c r="C90" s="26" t="s">
        <v>65</v>
      </c>
      <c r="D90" s="10"/>
      <c r="E90" s="25" t="s">
        <v>161</v>
      </c>
      <c r="F90" s="10" t="s">
        <v>0</v>
      </c>
      <c r="G90" s="10"/>
      <c r="H90" s="10" t="s">
        <v>0</v>
      </c>
      <c r="I90" s="10" t="s">
        <v>0</v>
      </c>
      <c r="J90" s="10" t="s">
        <v>0</v>
      </c>
      <c r="K90" s="23" t="e">
        <f>IF(#REF!="","",#REF!)</f>
        <v>#REF!</v>
      </c>
      <c r="L90" s="24">
        <f>IFERROR(VLOOKUP(K90,選択肢リスト!$B$3:$C$6,2,FALSE),M90)</f>
        <v>0</v>
      </c>
      <c r="M90" s="24">
        <v>0</v>
      </c>
      <c r="N90" s="24">
        <v>1</v>
      </c>
      <c r="O90" s="24"/>
      <c r="P90" s="24"/>
      <c r="Q90" s="24"/>
      <c r="R90" s="149" t="str">
        <f t="shared" si="113"/>
        <v/>
      </c>
      <c r="S90" s="24"/>
      <c r="T90" s="24"/>
      <c r="U90" s="24"/>
      <c r="V90" s="24"/>
      <c r="W90" s="24"/>
      <c r="X90" s="24">
        <f>$L90*N90</f>
        <v>0</v>
      </c>
      <c r="Y90" s="24">
        <f t="shared" ref="Y90" si="227">$L90*O90</f>
        <v>0</v>
      </c>
      <c r="Z90" s="24">
        <f t="shared" ref="Z90" si="228">$L90*P90</f>
        <v>0</v>
      </c>
      <c r="AA90" s="24">
        <f t="shared" ref="AA90" si="229">$L90*Q90</f>
        <v>0</v>
      </c>
      <c r="AB90" s="24">
        <f t="shared" ref="AB90" si="230">$L90*S90</f>
        <v>0</v>
      </c>
      <c r="AC90" s="24">
        <f t="shared" ref="AC90" si="231">$L90*T90</f>
        <v>0</v>
      </c>
      <c r="AD90" s="24">
        <f t="shared" ref="AD90" si="232">$L90*U90</f>
        <v>0</v>
      </c>
      <c r="AE90" s="24">
        <f t="shared" ref="AE90" si="233">$L90*V90</f>
        <v>0</v>
      </c>
      <c r="AF90" s="24"/>
      <c r="AG90" s="24"/>
      <c r="AH90" s="24"/>
      <c r="AI90" s="24"/>
      <c r="AJ90" s="24"/>
      <c r="AK90" s="24"/>
      <c r="AL90" s="24"/>
      <c r="AM90" s="24"/>
      <c r="AN90" s="24"/>
      <c r="AO90" s="24"/>
      <c r="AP90" s="24"/>
      <c r="AQ90" s="24"/>
      <c r="AR90" s="24"/>
      <c r="AS90" s="24"/>
      <c r="AT90" s="24"/>
      <c r="AU90" s="24"/>
      <c r="AV90" s="189"/>
    </row>
    <row r="91" spans="1:48" x14ac:dyDescent="0.4">
      <c r="A91" s="24" t="s">
        <v>515</v>
      </c>
      <c r="B91" s="10"/>
      <c r="C91" s="26" t="s">
        <v>65</v>
      </c>
      <c r="D91" s="10"/>
      <c r="E91" s="25" t="s">
        <v>162</v>
      </c>
      <c r="F91" s="10" t="s">
        <v>0</v>
      </c>
      <c r="G91" s="10" t="s">
        <v>0</v>
      </c>
      <c r="H91" s="10" t="s">
        <v>0</v>
      </c>
      <c r="I91" s="10" t="s">
        <v>0</v>
      </c>
      <c r="J91" s="10" t="s">
        <v>0</v>
      </c>
      <c r="K91" s="23" t="e">
        <f>IF(#REF!="","",#REF!)</f>
        <v>#REF!</v>
      </c>
      <c r="L91" s="24">
        <f>IFERROR(VLOOKUP(K91,選択肢リスト!$B$3:$C$6,2,FALSE),M91)</f>
        <v>0</v>
      </c>
      <c r="M91" s="24">
        <v>0</v>
      </c>
      <c r="N91" s="24">
        <v>1</v>
      </c>
      <c r="O91" s="24"/>
      <c r="P91" s="24"/>
      <c r="Q91" s="24"/>
      <c r="R91" s="149" t="str">
        <f t="shared" si="113"/>
        <v/>
      </c>
      <c r="S91" s="24"/>
      <c r="T91" s="24"/>
      <c r="U91" s="24"/>
      <c r="V91" s="24"/>
      <c r="W91" s="24"/>
      <c r="X91" s="24">
        <f t="shared" ref="X91" si="234">$L91*N91</f>
        <v>0</v>
      </c>
      <c r="Y91" s="24">
        <f t="shared" ref="Y91" si="235">$L91*O91</f>
        <v>0</v>
      </c>
      <c r="Z91" s="24">
        <f t="shared" ref="Z91" si="236">$L91*P91</f>
        <v>0</v>
      </c>
      <c r="AA91" s="24">
        <f t="shared" ref="AA91" si="237">$L91*Q91</f>
        <v>0</v>
      </c>
      <c r="AB91" s="24">
        <f t="shared" ref="AB91" si="238">$L91*S91</f>
        <v>0</v>
      </c>
      <c r="AC91" s="24">
        <f t="shared" ref="AC91" si="239">$L91*T91</f>
        <v>0</v>
      </c>
      <c r="AD91" s="24">
        <f t="shared" ref="AD91" si="240">$L91*U91</f>
        <v>0</v>
      </c>
      <c r="AE91" s="24">
        <f t="shared" ref="AE91" si="241">$L91*V91</f>
        <v>0</v>
      </c>
      <c r="AF91" s="24"/>
      <c r="AG91" s="24"/>
      <c r="AH91" s="24"/>
      <c r="AI91" s="24"/>
      <c r="AJ91" s="24"/>
      <c r="AK91" s="24"/>
      <c r="AL91" s="24"/>
      <c r="AM91" s="24"/>
      <c r="AN91" s="24"/>
      <c r="AO91" s="24"/>
      <c r="AP91" s="24"/>
      <c r="AQ91" s="24"/>
      <c r="AR91" s="24"/>
      <c r="AS91" s="24"/>
      <c r="AT91" s="24"/>
      <c r="AU91" s="24"/>
      <c r="AV91" s="189"/>
    </row>
    <row r="92" spans="1:48" ht="37.5" x14ac:dyDescent="0.4">
      <c r="A92" s="24" t="s">
        <v>515</v>
      </c>
      <c r="B92" s="10"/>
      <c r="C92" s="29" t="s">
        <v>66</v>
      </c>
      <c r="D92" s="10"/>
      <c r="E92" s="25" t="s">
        <v>170</v>
      </c>
      <c r="F92" s="10" t="s">
        <v>0</v>
      </c>
      <c r="G92" s="10" t="s">
        <v>0</v>
      </c>
      <c r="H92" s="10" t="s">
        <v>0</v>
      </c>
      <c r="I92" s="10" t="s">
        <v>0</v>
      </c>
      <c r="J92" s="10" t="s">
        <v>0</v>
      </c>
      <c r="K92" s="27" t="e">
        <f>IF(#REF!="","",#REF!)</f>
        <v>#REF!</v>
      </c>
      <c r="L92" s="28">
        <f>IFERROR(VLOOKUP(K92,選択肢リスト!$F$3:$G$7,2,FALSE),M92)</f>
        <v>0</v>
      </c>
      <c r="M92" s="24">
        <v>0</v>
      </c>
      <c r="N92" s="24">
        <v>1</v>
      </c>
      <c r="O92" s="24"/>
      <c r="P92" s="24"/>
      <c r="Q92" s="24"/>
      <c r="R92" s="149" t="str">
        <f t="shared" si="113"/>
        <v/>
      </c>
      <c r="S92" s="24"/>
      <c r="T92" s="24"/>
      <c r="U92" s="24"/>
      <c r="V92" s="24"/>
      <c r="W92" s="24"/>
      <c r="X92" s="24">
        <f t="shared" ref="X92:X93" si="242">$L92*N92</f>
        <v>0</v>
      </c>
      <c r="Y92" s="24">
        <f t="shared" ref="Y92:Y93" si="243">$L92*O92</f>
        <v>0</v>
      </c>
      <c r="Z92" s="28">
        <f t="shared" ref="Z92:Z93" si="244">$L92*P92</f>
        <v>0</v>
      </c>
      <c r="AA92" s="28">
        <f t="shared" ref="AA92:AA93" si="245">$L92*Q92</f>
        <v>0</v>
      </c>
      <c r="AB92" s="24">
        <f t="shared" ref="AB92:AB93" si="246">$L92*S92</f>
        <v>0</v>
      </c>
      <c r="AC92" s="24">
        <f t="shared" ref="AC92:AC93" si="247">$L92*T92</f>
        <v>0</v>
      </c>
      <c r="AD92" s="24">
        <f t="shared" ref="AD92:AD93" si="248">$L92*U92</f>
        <v>0</v>
      </c>
      <c r="AE92" s="24">
        <f t="shared" ref="AE92:AE93" si="249">$L92*V92</f>
        <v>0</v>
      </c>
      <c r="AF92" s="24"/>
      <c r="AG92" s="24"/>
      <c r="AH92" s="28"/>
      <c r="AI92" s="28"/>
      <c r="AJ92" s="24"/>
      <c r="AK92" s="24"/>
      <c r="AL92" s="24"/>
      <c r="AM92" s="24"/>
      <c r="AN92" s="24"/>
      <c r="AO92" s="24"/>
      <c r="AP92" s="28"/>
      <c r="AQ92" s="28"/>
      <c r="AR92" s="24"/>
      <c r="AS92" s="24"/>
      <c r="AT92" s="24"/>
      <c r="AU92" s="24"/>
      <c r="AV92" s="189"/>
    </row>
    <row r="93" spans="1:48" x14ac:dyDescent="0.4">
      <c r="A93" s="24" t="s">
        <v>515</v>
      </c>
      <c r="B93" s="207" t="s">
        <v>550</v>
      </c>
      <c r="C93" s="26" t="s">
        <v>65</v>
      </c>
      <c r="D93" s="10"/>
      <c r="E93" s="193" t="s">
        <v>183</v>
      </c>
      <c r="F93" s="10" t="s">
        <v>0</v>
      </c>
      <c r="G93" s="10" t="s">
        <v>0</v>
      </c>
      <c r="H93" s="10" t="s">
        <v>0</v>
      </c>
      <c r="I93" s="10" t="s">
        <v>0</v>
      </c>
      <c r="J93" s="10" t="s">
        <v>0</v>
      </c>
      <c r="K93" s="182" t="s">
        <v>72</v>
      </c>
      <c r="L93" s="184">
        <f>IFERROR(VLOOKUP(K93,選択肢リスト!$B$3:$C$6,2,FALSE),M93)</f>
        <v>0</v>
      </c>
      <c r="M93" s="24">
        <v>0</v>
      </c>
      <c r="N93" s="24"/>
      <c r="O93" s="24"/>
      <c r="P93" s="203">
        <v>1</v>
      </c>
      <c r="Q93" s="203">
        <v>1</v>
      </c>
      <c r="R93" s="149" t="str">
        <f t="shared" si="113"/>
        <v>〇</v>
      </c>
      <c r="S93" s="24"/>
      <c r="T93" s="24"/>
      <c r="U93" s="24"/>
      <c r="V93" s="24"/>
      <c r="W93" s="24"/>
      <c r="X93" s="24">
        <f t="shared" si="242"/>
        <v>0</v>
      </c>
      <c r="Y93" s="24">
        <f t="shared" si="243"/>
        <v>0</v>
      </c>
      <c r="Z93" s="184">
        <f t="shared" si="244"/>
        <v>0</v>
      </c>
      <c r="AA93" s="184">
        <f t="shared" si="245"/>
        <v>0</v>
      </c>
      <c r="AB93" s="24">
        <f t="shared" si="246"/>
        <v>0</v>
      </c>
      <c r="AC93" s="24">
        <f t="shared" si="247"/>
        <v>0</v>
      </c>
      <c r="AD93" s="24">
        <f t="shared" si="248"/>
        <v>0</v>
      </c>
      <c r="AE93" s="24">
        <f t="shared" si="249"/>
        <v>0</v>
      </c>
      <c r="AF93" s="24"/>
      <c r="AG93" s="24"/>
      <c r="AH93" s="183">
        <f>IF(K93="△不明",0,IF(C93="リスク確認",2*P93,IF(C93="対策確認",1*P93,"ERROR")))</f>
        <v>2</v>
      </c>
      <c r="AI93" s="183">
        <f>IF(K93="△不明",0,IF(C93="リスク確認",2*Q93,IF(C93="対策確認",1*Q93,"ERROR")))</f>
        <v>2</v>
      </c>
      <c r="AJ93" s="24">
        <f t="shared" ref="AJ93:AM95" si="250">S93*$M93</f>
        <v>0</v>
      </c>
      <c r="AK93" s="24">
        <f t="shared" si="250"/>
        <v>0</v>
      </c>
      <c r="AL93" s="24">
        <f t="shared" si="250"/>
        <v>0</v>
      </c>
      <c r="AM93" s="24">
        <f t="shared" si="250"/>
        <v>0</v>
      </c>
      <c r="AN93" s="24"/>
      <c r="AO93" s="24"/>
      <c r="AP93" s="183">
        <f>IF(K93="△不明",0,IF(C93="リスク確認",0*P93,IF(C93="対策確認",-1*P93,"ERROR")))</f>
        <v>0</v>
      </c>
      <c r="AQ93" s="183">
        <f>IF(K93="△不明",0,IF(C93="リスク確認",0*Q93,IF(C93="対策確認",-1*Q93,"ERROR")))</f>
        <v>0</v>
      </c>
      <c r="AR93" s="24"/>
      <c r="AS93" s="24"/>
      <c r="AT93" s="24"/>
      <c r="AU93" s="24"/>
    </row>
    <row r="94" spans="1:48" ht="37.5" x14ac:dyDescent="0.4">
      <c r="A94" s="24" t="s">
        <v>515</v>
      </c>
      <c r="B94" s="207" t="s">
        <v>552</v>
      </c>
      <c r="C94" s="29" t="s">
        <v>66</v>
      </c>
      <c r="D94" s="10"/>
      <c r="E94" s="197" t="s">
        <v>450</v>
      </c>
      <c r="F94" s="10" t="s">
        <v>0</v>
      </c>
      <c r="G94" s="10" t="s">
        <v>0</v>
      </c>
      <c r="H94" s="10" t="s">
        <v>0</v>
      </c>
      <c r="I94" s="10" t="s">
        <v>0</v>
      </c>
      <c r="J94" s="10" t="s">
        <v>0</v>
      </c>
      <c r="K94" s="27" t="s">
        <v>89</v>
      </c>
      <c r="L94" s="28">
        <f>IFERROR(VLOOKUP(K94,選択肢リスト!$F$3:$G$7,2,FALSE),M94)</f>
        <v>-1</v>
      </c>
      <c r="M94" s="24">
        <v>0</v>
      </c>
      <c r="N94" s="24"/>
      <c r="O94" s="24"/>
      <c r="P94" s="205">
        <v>1</v>
      </c>
      <c r="Q94" s="204"/>
      <c r="R94" s="149" t="str">
        <f t="shared" si="113"/>
        <v>〇</v>
      </c>
      <c r="S94" s="24"/>
      <c r="T94" s="24"/>
      <c r="U94" s="24"/>
      <c r="V94" s="24"/>
      <c r="W94" s="24"/>
      <c r="X94" s="24">
        <f t="shared" ref="X94" si="251">$L94*N94</f>
        <v>0</v>
      </c>
      <c r="Y94" s="24">
        <f t="shared" ref="Y94" si="252">$L94*O94</f>
        <v>0</v>
      </c>
      <c r="Z94" s="28">
        <f t="shared" ref="Z94" si="253">$L94*P94</f>
        <v>-1</v>
      </c>
      <c r="AA94" s="28">
        <f t="shared" ref="AA94" si="254">$L94*Q94</f>
        <v>0</v>
      </c>
      <c r="AB94" s="24">
        <f t="shared" ref="AB94" si="255">$L94*S94</f>
        <v>0</v>
      </c>
      <c r="AC94" s="24">
        <f t="shared" ref="AC94" si="256">$L94*T94</f>
        <v>0</v>
      </c>
      <c r="AD94" s="24">
        <f t="shared" ref="AD94" si="257">$L94*U94</f>
        <v>0</v>
      </c>
      <c r="AE94" s="24">
        <f t="shared" ref="AE94" si="258">$L94*V94</f>
        <v>0</v>
      </c>
      <c r="AF94" s="24"/>
      <c r="AG94" s="24"/>
      <c r="AH94" s="28">
        <f>IF(K94="□不要、対象外",0,IF(C94="リスク確認",2*P94,IF(C94="対策確認",1*P94,"ERROR")))</f>
        <v>1</v>
      </c>
      <c r="AI94" s="28">
        <f>IF(K94="□不要、対象外",0,IF(C94="リスク確認",2*Q94,IF(C94="対策確認",1*Q94,"ERROR")))</f>
        <v>0</v>
      </c>
      <c r="AJ94" s="24">
        <f t="shared" si="250"/>
        <v>0</v>
      </c>
      <c r="AK94" s="24">
        <f t="shared" si="250"/>
        <v>0</v>
      </c>
      <c r="AL94" s="24">
        <f t="shared" si="250"/>
        <v>0</v>
      </c>
      <c r="AM94" s="24">
        <f t="shared" si="250"/>
        <v>0</v>
      </c>
      <c r="AN94" s="24"/>
      <c r="AO94" s="24"/>
      <c r="AP94" s="28">
        <f>IF(K94="□不要、対象外",0,IF(C94="リスク確認",0*P94,IF(C94="対策確認",-1*P94,"ERROR")))</f>
        <v>-1</v>
      </c>
      <c r="AQ94" s="28">
        <f>IF(K94="□不要、対象外",0,IF(C94="リスク確認",0*Q94,IF(C94="対策確認",-1*Q94,"ERROR")))</f>
        <v>0</v>
      </c>
      <c r="AR94" s="24"/>
      <c r="AS94" s="24"/>
      <c r="AT94" s="24"/>
      <c r="AU94" s="24"/>
    </row>
    <row r="95" spans="1:48" x14ac:dyDescent="0.4">
      <c r="A95" s="24" t="s">
        <v>515</v>
      </c>
      <c r="B95" s="207" t="s">
        <v>553</v>
      </c>
      <c r="C95" s="29" t="s">
        <v>66</v>
      </c>
      <c r="D95" s="10"/>
      <c r="E95" s="197" t="s">
        <v>506</v>
      </c>
      <c r="F95" s="10" t="s">
        <v>0</v>
      </c>
      <c r="G95" s="10" t="s">
        <v>0</v>
      </c>
      <c r="H95" s="10" t="s">
        <v>0</v>
      </c>
      <c r="I95" s="10" t="s">
        <v>0</v>
      </c>
      <c r="J95" s="10" t="s">
        <v>0</v>
      </c>
      <c r="K95" s="27" t="s">
        <v>89</v>
      </c>
      <c r="L95" s="28">
        <f>IFERROR(VLOOKUP(K95,選択肢リスト!$F$3:$G$7,2,FALSE),M95)</f>
        <v>-1</v>
      </c>
      <c r="M95" s="24">
        <v>0</v>
      </c>
      <c r="N95" s="24"/>
      <c r="O95" s="24"/>
      <c r="P95" s="204"/>
      <c r="Q95" s="205">
        <v>1</v>
      </c>
      <c r="R95" s="149" t="str">
        <f t="shared" si="113"/>
        <v>〇</v>
      </c>
      <c r="S95" s="24"/>
      <c r="T95" s="24"/>
      <c r="U95" s="24"/>
      <c r="V95" s="24"/>
      <c r="W95" s="24"/>
      <c r="X95" s="24">
        <f t="shared" ref="X95" si="259">$L95*N95</f>
        <v>0</v>
      </c>
      <c r="Y95" s="24">
        <f t="shared" ref="Y95" si="260">$L95*O95</f>
        <v>0</v>
      </c>
      <c r="Z95" s="28">
        <f t="shared" ref="Z95" si="261">$L95*P95</f>
        <v>0</v>
      </c>
      <c r="AA95" s="28">
        <f t="shared" ref="AA95" si="262">$L95*Q95</f>
        <v>-1</v>
      </c>
      <c r="AB95" s="24">
        <f t="shared" ref="AB95" si="263">$L95*S95</f>
        <v>0</v>
      </c>
      <c r="AC95" s="24">
        <f t="shared" ref="AC95" si="264">$L95*T95</f>
        <v>0</v>
      </c>
      <c r="AD95" s="24">
        <f t="shared" ref="AD95" si="265">$L95*U95</f>
        <v>0</v>
      </c>
      <c r="AE95" s="24">
        <f t="shared" ref="AE95" si="266">$L95*V95</f>
        <v>0</v>
      </c>
      <c r="AF95" s="24"/>
      <c r="AG95" s="24"/>
      <c r="AH95" s="28">
        <f>IF(K95="□不要、対象外",0,IF(C95="リスク確認",2*P95,IF(C95="対策確認",1*P95,"ERROR")))</f>
        <v>0</v>
      </c>
      <c r="AI95" s="28">
        <f>IF(K95="□不要、対象外",0,IF(C95="リスク確認",2*Q95,IF(C95="対策確認",1*Q95,"ERROR")))</f>
        <v>1</v>
      </c>
      <c r="AJ95" s="24">
        <f t="shared" si="250"/>
        <v>0</v>
      </c>
      <c r="AK95" s="24">
        <f t="shared" si="250"/>
        <v>0</v>
      </c>
      <c r="AL95" s="24">
        <f t="shared" si="250"/>
        <v>0</v>
      </c>
      <c r="AM95" s="24">
        <f t="shared" si="250"/>
        <v>0</v>
      </c>
      <c r="AN95" s="24"/>
      <c r="AO95" s="24"/>
      <c r="AP95" s="28">
        <f>IF(K95="□不要、対象外",0,IF(C95="リスク確認",0*P95,IF(C95="対策確認",-1*P95,"ERROR")))</f>
        <v>0</v>
      </c>
      <c r="AQ95" s="28">
        <f>IF(K95="□不要、対象外",0,IF(C95="リスク確認",0*Q95,IF(C95="対策確認",-1*Q95,"ERROR")))</f>
        <v>-1</v>
      </c>
      <c r="AR95" s="24"/>
      <c r="AS95" s="24"/>
      <c r="AT95" s="24"/>
      <c r="AU95" s="24"/>
    </row>
    <row r="96" spans="1:48" x14ac:dyDescent="0.4">
      <c r="A96" s="24"/>
      <c r="B96" s="10"/>
      <c r="C96" s="10"/>
      <c r="D96" s="10"/>
      <c r="E96" s="25"/>
      <c r="F96" s="10"/>
      <c r="G96" s="10"/>
      <c r="H96" s="10"/>
      <c r="I96" s="10"/>
      <c r="J96" s="10"/>
      <c r="K96" s="23" t="e">
        <f>IF(#REF!="","",#REF!)</f>
        <v>#REF!</v>
      </c>
      <c r="L96" s="10"/>
      <c r="M96" s="24"/>
      <c r="N96" s="24"/>
      <c r="O96" s="24"/>
      <c r="P96" s="24"/>
      <c r="Q96" s="24"/>
      <c r="R96" s="149" t="str">
        <f t="shared" si="113"/>
        <v/>
      </c>
      <c r="S96" s="24"/>
      <c r="T96" s="24"/>
      <c r="U96" s="24"/>
      <c r="V96" s="24"/>
      <c r="W96" s="24"/>
      <c r="X96" s="24"/>
      <c r="Y96" s="24"/>
      <c r="Z96" s="10"/>
      <c r="AA96" s="10"/>
      <c r="AB96" s="24"/>
      <c r="AC96" s="24"/>
      <c r="AD96" s="24"/>
      <c r="AE96" s="24"/>
      <c r="AF96" s="24"/>
      <c r="AG96" s="24"/>
      <c r="AH96" s="10"/>
      <c r="AI96" s="10"/>
      <c r="AJ96" s="24"/>
      <c r="AK96" s="24"/>
      <c r="AL96" s="24"/>
      <c r="AM96" s="24"/>
      <c r="AN96" s="24"/>
      <c r="AO96" s="24"/>
      <c r="AP96" s="10"/>
      <c r="AQ96" s="10"/>
      <c r="AR96" s="24"/>
      <c r="AS96" s="24"/>
      <c r="AT96" s="24"/>
      <c r="AU96" s="24"/>
      <c r="AV96" s="189"/>
    </row>
    <row r="97" spans="1:48" x14ac:dyDescent="0.4">
      <c r="A97" s="31" t="s">
        <v>520</v>
      </c>
      <c r="B97" s="31"/>
      <c r="C97" s="31" t="s">
        <v>53</v>
      </c>
      <c r="D97" s="32"/>
      <c r="E97" s="195"/>
      <c r="F97" s="32"/>
      <c r="G97" s="32"/>
      <c r="H97" s="32"/>
      <c r="I97" s="32"/>
      <c r="J97" s="32"/>
      <c r="K97" s="33" t="e">
        <f>IF(#REF!="","",#REF!)</f>
        <v>#REF!</v>
      </c>
      <c r="L97" s="32"/>
      <c r="M97" s="34"/>
      <c r="N97" s="34"/>
      <c r="O97" s="34"/>
      <c r="P97" s="202" t="s">
        <v>0</v>
      </c>
      <c r="Q97" s="202" t="s">
        <v>0</v>
      </c>
      <c r="R97" s="32" t="s">
        <v>0</v>
      </c>
      <c r="S97" s="34"/>
      <c r="T97" s="34"/>
      <c r="U97" s="34"/>
      <c r="V97" s="34"/>
      <c r="W97" s="31" t="s">
        <v>106</v>
      </c>
      <c r="X97" s="35">
        <f>SUM(X98:X113)</f>
        <v>0</v>
      </c>
      <c r="Y97" s="35">
        <f t="shared" ref="Y97:AE97" si="267">SUM(Y98:Y113)</f>
        <v>0</v>
      </c>
      <c r="Z97" s="35">
        <f t="shared" si="267"/>
        <v>-3</v>
      </c>
      <c r="AA97" s="35">
        <f t="shared" si="267"/>
        <v>-4</v>
      </c>
      <c r="AB97" s="35">
        <f t="shared" si="267"/>
        <v>0</v>
      </c>
      <c r="AC97" s="35">
        <f t="shared" si="267"/>
        <v>1</v>
      </c>
      <c r="AD97" s="35">
        <f t="shared" si="267"/>
        <v>0</v>
      </c>
      <c r="AE97" s="35">
        <f t="shared" si="267"/>
        <v>0</v>
      </c>
      <c r="AF97" s="35"/>
      <c r="AG97" s="35"/>
      <c r="AH97" s="35">
        <f t="shared" ref="AH97:AM97" si="268">SUM(AH98:AH113)</f>
        <v>9</v>
      </c>
      <c r="AI97" s="35">
        <f t="shared" si="268"/>
        <v>6</v>
      </c>
      <c r="AJ97" s="35">
        <f t="shared" si="268"/>
        <v>0</v>
      </c>
      <c r="AK97" s="35">
        <f t="shared" si="268"/>
        <v>0</v>
      </c>
      <c r="AL97" s="35">
        <f t="shared" si="268"/>
        <v>0</v>
      </c>
      <c r="AM97" s="35">
        <f t="shared" si="268"/>
        <v>0</v>
      </c>
      <c r="AN97" s="35"/>
      <c r="AO97" s="35"/>
      <c r="AP97" s="35">
        <f t="shared" ref="AP97" si="269">SUM(AP98:AP113)</f>
        <v>-9</v>
      </c>
      <c r="AQ97" s="35">
        <f t="shared" ref="AQ97" si="270">SUM(AQ98:AQ113)</f>
        <v>-6</v>
      </c>
      <c r="AR97" s="35"/>
      <c r="AS97" s="35"/>
      <c r="AT97" s="35"/>
      <c r="AU97" s="35"/>
      <c r="AV97" s="189"/>
    </row>
    <row r="98" spans="1:48" x14ac:dyDescent="0.4">
      <c r="A98" s="24" t="s">
        <v>520</v>
      </c>
      <c r="B98" s="10"/>
      <c r="C98" s="29" t="s">
        <v>66</v>
      </c>
      <c r="D98" s="10"/>
      <c r="E98" s="25" t="s">
        <v>171</v>
      </c>
      <c r="F98" s="10" t="s">
        <v>0</v>
      </c>
      <c r="G98" s="10" t="s">
        <v>0</v>
      </c>
      <c r="H98" s="10" t="s">
        <v>0</v>
      </c>
      <c r="I98" s="10" t="s">
        <v>0</v>
      </c>
      <c r="J98" s="10" t="s">
        <v>0</v>
      </c>
      <c r="K98" s="27" t="e">
        <f>IF(#REF!="","",#REF!)</f>
        <v>#REF!</v>
      </c>
      <c r="L98" s="28">
        <f>IFERROR(VLOOKUP(K98,選択肢リスト!$F$3:$G$7,2,FALSE),M98)</f>
        <v>0</v>
      </c>
      <c r="M98" s="24">
        <v>0</v>
      </c>
      <c r="N98" s="24">
        <v>1</v>
      </c>
      <c r="O98" s="24"/>
      <c r="P98" s="24"/>
      <c r="Q98" s="24"/>
      <c r="R98" s="149" t="str">
        <f t="shared" si="113"/>
        <v/>
      </c>
      <c r="S98" s="24"/>
      <c r="T98" s="24"/>
      <c r="U98" s="24"/>
      <c r="V98" s="24"/>
      <c r="W98" s="24"/>
      <c r="X98" s="24">
        <f t="shared" ref="X98" si="271">$L98*N98</f>
        <v>0</v>
      </c>
      <c r="Y98" s="24">
        <f t="shared" ref="Y98" si="272">$L98*O98</f>
        <v>0</v>
      </c>
      <c r="Z98" s="28">
        <f t="shared" ref="Z98" si="273">$L98*P98</f>
        <v>0</v>
      </c>
      <c r="AA98" s="28">
        <f t="shared" ref="AA98" si="274">$L98*Q98</f>
        <v>0</v>
      </c>
      <c r="AB98" s="24">
        <f t="shared" ref="AB98" si="275">$L98*S98</f>
        <v>0</v>
      </c>
      <c r="AC98" s="24">
        <f t="shared" ref="AC98" si="276">$L98*T98</f>
        <v>0</v>
      </c>
      <c r="AD98" s="24">
        <f t="shared" ref="AD98" si="277">$L98*U98</f>
        <v>0</v>
      </c>
      <c r="AE98" s="24">
        <f t="shared" ref="AE98" si="278">$L98*V98</f>
        <v>0</v>
      </c>
      <c r="AF98" s="24"/>
      <c r="AG98" s="24"/>
      <c r="AH98" s="28"/>
      <c r="AI98" s="28"/>
      <c r="AJ98" s="24"/>
      <c r="AK98" s="24"/>
      <c r="AL98" s="24"/>
      <c r="AM98" s="24"/>
      <c r="AN98" s="24"/>
      <c r="AO98" s="24"/>
      <c r="AP98" s="28"/>
      <c r="AQ98" s="28"/>
      <c r="AR98" s="24"/>
      <c r="AS98" s="24"/>
      <c r="AT98" s="24"/>
      <c r="AU98" s="24"/>
      <c r="AV98" s="189"/>
    </row>
    <row r="99" spans="1:48" x14ac:dyDescent="0.4">
      <c r="A99" s="24" t="s">
        <v>520</v>
      </c>
      <c r="B99" s="207" t="s">
        <v>557</v>
      </c>
      <c r="C99" s="29" t="s">
        <v>66</v>
      </c>
      <c r="D99" s="10"/>
      <c r="E99" s="197" t="s">
        <v>475</v>
      </c>
      <c r="F99" s="10" t="s">
        <v>0</v>
      </c>
      <c r="G99" s="10" t="s">
        <v>0</v>
      </c>
      <c r="H99" s="10" t="s">
        <v>0</v>
      </c>
      <c r="I99" s="10" t="s">
        <v>0</v>
      </c>
      <c r="J99" s="10" t="s">
        <v>0</v>
      </c>
      <c r="K99" s="27" t="s">
        <v>91</v>
      </c>
      <c r="L99" s="28">
        <f>IFERROR(VLOOKUP(K99,選択肢リスト!$F$3:$G$7,2,FALSE),M99)</f>
        <v>1</v>
      </c>
      <c r="M99" s="24">
        <v>0</v>
      </c>
      <c r="N99" s="24"/>
      <c r="O99" s="24"/>
      <c r="P99" s="205">
        <v>2</v>
      </c>
      <c r="Q99" s="204"/>
      <c r="R99" s="149" t="str">
        <f t="shared" si="113"/>
        <v>〇</v>
      </c>
      <c r="S99" s="24"/>
      <c r="T99" s="24">
        <v>1</v>
      </c>
      <c r="U99" s="24"/>
      <c r="V99" s="24"/>
      <c r="W99" s="24"/>
      <c r="X99" s="24">
        <f t="shared" ref="X99" si="279">$L99*N99</f>
        <v>0</v>
      </c>
      <c r="Y99" s="24">
        <f t="shared" ref="Y99" si="280">$L99*O99</f>
        <v>0</v>
      </c>
      <c r="Z99" s="28">
        <f t="shared" ref="Z99" si="281">$L99*P99</f>
        <v>2</v>
      </c>
      <c r="AA99" s="28">
        <f t="shared" ref="AA99" si="282">$L99*Q99</f>
        <v>0</v>
      </c>
      <c r="AB99" s="24">
        <f t="shared" ref="AB99" si="283">$L99*S99</f>
        <v>0</v>
      </c>
      <c r="AC99" s="24">
        <f t="shared" ref="AC99" si="284">$L99*T99</f>
        <v>1</v>
      </c>
      <c r="AD99" s="24">
        <f t="shared" ref="AD99" si="285">$L99*U99</f>
        <v>0</v>
      </c>
      <c r="AE99" s="24">
        <f t="shared" ref="AE99" si="286">$L99*V99</f>
        <v>0</v>
      </c>
      <c r="AF99" s="24"/>
      <c r="AG99" s="24"/>
      <c r="AH99" s="28">
        <f>IF(K99="□不要、対象外",0,IF(C99="リスク確認",2*P99,IF(C99="対策確認",1*P99,"ERROR")))</f>
        <v>2</v>
      </c>
      <c r="AI99" s="28">
        <f>IF(K99="□不要、対象外",0,IF(C99="リスク確認",2*Q99,IF(C99="対策確認",1*Q99,"ERROR")))</f>
        <v>0</v>
      </c>
      <c r="AJ99" s="24">
        <f t="shared" ref="AJ99:AM101" si="287">S99*$M99</f>
        <v>0</v>
      </c>
      <c r="AK99" s="24">
        <f t="shared" si="287"/>
        <v>0</v>
      </c>
      <c r="AL99" s="24">
        <f t="shared" si="287"/>
        <v>0</v>
      </c>
      <c r="AM99" s="24">
        <f t="shared" si="287"/>
        <v>0</v>
      </c>
      <c r="AN99" s="24"/>
      <c r="AO99" s="24"/>
      <c r="AP99" s="28">
        <f>IF(K99="□不要、対象外",0,IF(C99="リスク確認",0*P99,IF(C99="対策確認",-1*P99,"ERROR")))</f>
        <v>-2</v>
      </c>
      <c r="AQ99" s="28">
        <f>IF(K99="□不要、対象外",0,IF(C99="リスク確認",0*Q99,IF(C99="対策確認",-1*Q99,"ERROR")))</f>
        <v>0</v>
      </c>
      <c r="AR99" s="24"/>
      <c r="AS99" s="24"/>
      <c r="AT99" s="24"/>
      <c r="AU99" s="24"/>
    </row>
    <row r="100" spans="1:48" x14ac:dyDescent="0.4">
      <c r="A100" s="24" t="s">
        <v>520</v>
      </c>
      <c r="B100" s="207" t="s">
        <v>150</v>
      </c>
      <c r="C100" s="29" t="s">
        <v>66</v>
      </c>
      <c r="D100" s="10"/>
      <c r="E100" s="197" t="s">
        <v>457</v>
      </c>
      <c r="F100" s="10" t="s">
        <v>0</v>
      </c>
      <c r="G100" s="10" t="s">
        <v>0</v>
      </c>
      <c r="H100" s="10" t="s">
        <v>0</v>
      </c>
      <c r="I100" s="10" t="s">
        <v>0</v>
      </c>
      <c r="J100" s="10" t="s">
        <v>0</v>
      </c>
      <c r="K100" s="27" t="s">
        <v>89</v>
      </c>
      <c r="L100" s="28">
        <f>IFERROR(VLOOKUP(K100,選択肢リスト!$F$3:$G$7,2,FALSE),M100)</f>
        <v>-1</v>
      </c>
      <c r="M100" s="24">
        <v>0</v>
      </c>
      <c r="N100" s="24"/>
      <c r="O100" s="24"/>
      <c r="P100" s="205">
        <v>1</v>
      </c>
      <c r="Q100" s="204"/>
      <c r="R100" s="149" t="str">
        <f t="shared" si="113"/>
        <v>〇</v>
      </c>
      <c r="S100" s="24"/>
      <c r="T100" s="24">
        <v>1</v>
      </c>
      <c r="U100" s="24"/>
      <c r="V100" s="24"/>
      <c r="W100" s="24"/>
      <c r="X100" s="24">
        <f t="shared" ref="X100" si="288">$L100*N100</f>
        <v>0</v>
      </c>
      <c r="Y100" s="24">
        <f t="shared" ref="Y100" si="289">$L100*O100</f>
        <v>0</v>
      </c>
      <c r="Z100" s="28">
        <f t="shared" ref="Z100" si="290">$L100*P100</f>
        <v>-1</v>
      </c>
      <c r="AA100" s="28">
        <f t="shared" ref="AA100" si="291">$L100*Q100</f>
        <v>0</v>
      </c>
      <c r="AB100" s="24">
        <f t="shared" ref="AB100" si="292">$L100*S100</f>
        <v>0</v>
      </c>
      <c r="AC100" s="24">
        <f t="shared" ref="AC100" si="293">$L100*T100</f>
        <v>-1</v>
      </c>
      <c r="AD100" s="24">
        <f t="shared" ref="AD100" si="294">$L100*U100</f>
        <v>0</v>
      </c>
      <c r="AE100" s="24">
        <f t="shared" ref="AE100" si="295">$L100*V100</f>
        <v>0</v>
      </c>
      <c r="AF100" s="24"/>
      <c r="AG100" s="24"/>
      <c r="AH100" s="28">
        <f>IF(K100="□不要、対象外",0,IF(C100="リスク確認",2*P100,IF(C100="対策確認",1*P100,"ERROR")))</f>
        <v>1</v>
      </c>
      <c r="AI100" s="28">
        <f>IF(K100="□不要、対象外",0,IF(C100="リスク確認",2*Q100,IF(C100="対策確認",1*Q100,"ERROR")))</f>
        <v>0</v>
      </c>
      <c r="AJ100" s="24">
        <f t="shared" si="287"/>
        <v>0</v>
      </c>
      <c r="AK100" s="24">
        <f t="shared" si="287"/>
        <v>0</v>
      </c>
      <c r="AL100" s="24">
        <f t="shared" si="287"/>
        <v>0</v>
      </c>
      <c r="AM100" s="24">
        <f t="shared" si="287"/>
        <v>0</v>
      </c>
      <c r="AN100" s="24"/>
      <c r="AO100" s="24"/>
      <c r="AP100" s="28">
        <f>IF(K100="□不要、対象外",0,IF(C100="リスク確認",0*P100,IF(C100="対策確認",-1*P100,"ERROR")))</f>
        <v>-1</v>
      </c>
      <c r="AQ100" s="28">
        <f>IF(K100="□不要、対象外",0,IF(C100="リスク確認",0*Q100,IF(C100="対策確認",-1*Q100,"ERROR")))</f>
        <v>0</v>
      </c>
      <c r="AR100" s="24"/>
      <c r="AS100" s="24"/>
      <c r="AT100" s="24"/>
      <c r="AU100" s="24"/>
    </row>
    <row r="101" spans="1:48" x14ac:dyDescent="0.4">
      <c r="A101" s="24" t="s">
        <v>520</v>
      </c>
      <c r="B101" s="207" t="s">
        <v>151</v>
      </c>
      <c r="C101" s="29" t="s">
        <v>66</v>
      </c>
      <c r="D101" s="10"/>
      <c r="E101" s="197" t="s">
        <v>456</v>
      </c>
      <c r="F101" s="10" t="s">
        <v>0</v>
      </c>
      <c r="G101" s="10" t="s">
        <v>0</v>
      </c>
      <c r="H101" s="10" t="s">
        <v>0</v>
      </c>
      <c r="I101" s="10" t="s">
        <v>0</v>
      </c>
      <c r="J101" s="10" t="s">
        <v>0</v>
      </c>
      <c r="K101" s="27" t="s">
        <v>91</v>
      </c>
      <c r="L101" s="28">
        <f>IFERROR(VLOOKUP(K101,選択肢リスト!$F$3:$G$7,2,FALSE),M101)</f>
        <v>1</v>
      </c>
      <c r="M101" s="24">
        <v>0</v>
      </c>
      <c r="N101" s="24"/>
      <c r="O101" s="24"/>
      <c r="P101" s="205">
        <v>1</v>
      </c>
      <c r="Q101" s="204"/>
      <c r="R101" s="149" t="str">
        <f t="shared" si="113"/>
        <v>〇</v>
      </c>
      <c r="S101" s="24"/>
      <c r="T101" s="24">
        <v>1</v>
      </c>
      <c r="U101" s="24"/>
      <c r="V101" s="24"/>
      <c r="W101" s="24"/>
      <c r="X101" s="24">
        <f t="shared" ref="X101" si="296">$L101*N101</f>
        <v>0</v>
      </c>
      <c r="Y101" s="24">
        <f t="shared" ref="Y101" si="297">$L101*O101</f>
        <v>0</v>
      </c>
      <c r="Z101" s="28">
        <f t="shared" ref="Z101" si="298">$L101*P101</f>
        <v>1</v>
      </c>
      <c r="AA101" s="28">
        <f t="shared" ref="AA101" si="299">$L101*Q101</f>
        <v>0</v>
      </c>
      <c r="AB101" s="24">
        <f t="shared" ref="AB101" si="300">$L101*S101</f>
        <v>0</v>
      </c>
      <c r="AC101" s="24">
        <f t="shared" ref="AC101" si="301">$L101*T101</f>
        <v>1</v>
      </c>
      <c r="AD101" s="24">
        <f t="shared" ref="AD101" si="302">$L101*U101</f>
        <v>0</v>
      </c>
      <c r="AE101" s="24">
        <f t="shared" ref="AE101" si="303">$L101*V101</f>
        <v>0</v>
      </c>
      <c r="AF101" s="24"/>
      <c r="AG101" s="24"/>
      <c r="AH101" s="28">
        <f>IF(K101="□不要、対象外",0,IF(C101="リスク確認",2*P101,IF(C101="対策確認",1*P101,"ERROR")))</f>
        <v>1</v>
      </c>
      <c r="AI101" s="28">
        <f>IF(K101="□不要、対象外",0,IF(C101="リスク確認",2*Q101,IF(C101="対策確認",1*Q101,"ERROR")))</f>
        <v>0</v>
      </c>
      <c r="AJ101" s="24">
        <f t="shared" si="287"/>
        <v>0</v>
      </c>
      <c r="AK101" s="24">
        <f t="shared" si="287"/>
        <v>0</v>
      </c>
      <c r="AL101" s="24">
        <f t="shared" si="287"/>
        <v>0</v>
      </c>
      <c r="AM101" s="24">
        <f t="shared" si="287"/>
        <v>0</v>
      </c>
      <c r="AN101" s="24"/>
      <c r="AO101" s="24"/>
      <c r="AP101" s="28">
        <f>IF(K101="□不要、対象外",0,IF(C101="リスク確認",0*P101,IF(C101="対策確認",-1*P101,"ERROR")))</f>
        <v>-1</v>
      </c>
      <c r="AQ101" s="28">
        <f>IF(K101="□不要、対象外",0,IF(C101="リスク確認",0*Q101,IF(C101="対策確認",-1*Q101,"ERROR")))</f>
        <v>0</v>
      </c>
      <c r="AR101" s="24"/>
      <c r="AS101" s="24"/>
      <c r="AT101" s="24"/>
      <c r="AU101" s="24"/>
    </row>
    <row r="102" spans="1:48" x14ac:dyDescent="0.4">
      <c r="A102" s="24" t="s">
        <v>520</v>
      </c>
      <c r="B102" s="10"/>
      <c r="C102" s="29" t="s">
        <v>66</v>
      </c>
      <c r="D102" s="10"/>
      <c r="E102" s="25" t="s">
        <v>186</v>
      </c>
      <c r="F102" s="10" t="s">
        <v>0</v>
      </c>
      <c r="G102" s="10" t="s">
        <v>0</v>
      </c>
      <c r="H102" s="10" t="s">
        <v>0</v>
      </c>
      <c r="I102" s="10" t="s">
        <v>0</v>
      </c>
      <c r="J102" s="10" t="s">
        <v>0</v>
      </c>
      <c r="K102" s="27" t="e">
        <f>IF(#REF!="","",#REF!)</f>
        <v>#REF!</v>
      </c>
      <c r="L102" s="28">
        <f>IFERROR(VLOOKUP(K102,選択肢リスト!$F$3:$G$7,2,FALSE),M102)</f>
        <v>0</v>
      </c>
      <c r="M102" s="24">
        <v>0</v>
      </c>
      <c r="N102" s="24">
        <v>1</v>
      </c>
      <c r="O102" s="24"/>
      <c r="P102" s="24"/>
      <c r="Q102" s="24"/>
      <c r="R102" s="149" t="str">
        <f t="shared" si="113"/>
        <v/>
      </c>
      <c r="S102" s="24"/>
      <c r="T102" s="24"/>
      <c r="U102" s="24"/>
      <c r="V102" s="24"/>
      <c r="W102" s="24"/>
      <c r="X102" s="24">
        <f t="shared" ref="X102:X110" si="304">$L102*N102</f>
        <v>0</v>
      </c>
      <c r="Y102" s="24">
        <f t="shared" ref="Y102:Y110" si="305">$L102*O102</f>
        <v>0</v>
      </c>
      <c r="Z102" s="28">
        <f t="shared" ref="Z102:Z110" si="306">$L102*P102</f>
        <v>0</v>
      </c>
      <c r="AA102" s="28">
        <f t="shared" ref="AA102:AA110" si="307">$L102*Q102</f>
        <v>0</v>
      </c>
      <c r="AB102" s="24">
        <f t="shared" ref="AB102:AB110" si="308">$L102*S102</f>
        <v>0</v>
      </c>
      <c r="AC102" s="24">
        <f t="shared" ref="AC102:AC110" si="309">$L102*T102</f>
        <v>0</v>
      </c>
      <c r="AD102" s="24">
        <f t="shared" ref="AD102:AD110" si="310">$L102*U102</f>
        <v>0</v>
      </c>
      <c r="AE102" s="24">
        <f t="shared" ref="AE102:AE110" si="311">$L102*V102</f>
        <v>0</v>
      </c>
      <c r="AF102" s="24"/>
      <c r="AG102" s="24"/>
      <c r="AH102" s="28"/>
      <c r="AI102" s="28"/>
      <c r="AJ102" s="24"/>
      <c r="AK102" s="24"/>
      <c r="AL102" s="24"/>
      <c r="AM102" s="24"/>
      <c r="AN102" s="24"/>
      <c r="AO102" s="24"/>
      <c r="AP102" s="28"/>
      <c r="AQ102" s="28"/>
      <c r="AR102" s="24"/>
      <c r="AS102" s="24"/>
      <c r="AT102" s="24"/>
      <c r="AU102" s="24"/>
      <c r="AV102" s="189"/>
    </row>
    <row r="103" spans="1:48" x14ac:dyDescent="0.4">
      <c r="A103" s="24" t="s">
        <v>520</v>
      </c>
      <c r="B103" s="10"/>
      <c r="C103" s="29" t="s">
        <v>66</v>
      </c>
      <c r="D103" s="10"/>
      <c r="E103" s="25" t="s">
        <v>185</v>
      </c>
      <c r="F103" s="10" t="s">
        <v>0</v>
      </c>
      <c r="G103" s="10" t="s">
        <v>0</v>
      </c>
      <c r="H103" s="10" t="s">
        <v>0</v>
      </c>
      <c r="I103" s="10" t="s">
        <v>0</v>
      </c>
      <c r="J103" s="10" t="s">
        <v>0</v>
      </c>
      <c r="K103" s="27" t="e">
        <f>IF(#REF!="","",#REF!)</f>
        <v>#REF!</v>
      </c>
      <c r="L103" s="28">
        <f>IFERROR(VLOOKUP(K103,選択肢リスト!$F$3:$G$7,2,FALSE),M103)</f>
        <v>0</v>
      </c>
      <c r="M103" s="24">
        <v>0</v>
      </c>
      <c r="N103" s="24"/>
      <c r="O103" s="24">
        <v>1</v>
      </c>
      <c r="P103" s="24"/>
      <c r="Q103" s="24"/>
      <c r="R103" s="149" t="str">
        <f t="shared" si="113"/>
        <v/>
      </c>
      <c r="S103" s="24"/>
      <c r="T103" s="24"/>
      <c r="U103" s="24"/>
      <c r="V103" s="24"/>
      <c r="W103" s="24"/>
      <c r="X103" s="24">
        <f t="shared" si="304"/>
        <v>0</v>
      </c>
      <c r="Y103" s="24">
        <f t="shared" si="305"/>
        <v>0</v>
      </c>
      <c r="Z103" s="28">
        <f t="shared" si="306"/>
        <v>0</v>
      </c>
      <c r="AA103" s="28">
        <f t="shared" si="307"/>
        <v>0</v>
      </c>
      <c r="AB103" s="24">
        <f t="shared" si="308"/>
        <v>0</v>
      </c>
      <c r="AC103" s="24">
        <f t="shared" si="309"/>
        <v>0</v>
      </c>
      <c r="AD103" s="24">
        <f t="shared" si="310"/>
        <v>0</v>
      </c>
      <c r="AE103" s="24">
        <f t="shared" si="311"/>
        <v>0</v>
      </c>
      <c r="AF103" s="24"/>
      <c r="AG103" s="24"/>
      <c r="AH103" s="28"/>
      <c r="AI103" s="28"/>
      <c r="AJ103" s="24"/>
      <c r="AK103" s="24"/>
      <c r="AL103" s="24"/>
      <c r="AM103" s="24"/>
      <c r="AN103" s="24"/>
      <c r="AO103" s="24"/>
      <c r="AP103" s="28"/>
      <c r="AQ103" s="28"/>
      <c r="AR103" s="24"/>
      <c r="AS103" s="24"/>
      <c r="AT103" s="24"/>
      <c r="AU103" s="24"/>
      <c r="AV103" s="189"/>
    </row>
    <row r="104" spans="1:48" x14ac:dyDescent="0.4">
      <c r="A104" s="24" t="s">
        <v>520</v>
      </c>
      <c r="B104" s="207" t="s">
        <v>152</v>
      </c>
      <c r="C104" s="29" t="s">
        <v>66</v>
      </c>
      <c r="D104" s="10"/>
      <c r="E104" s="197" t="s">
        <v>562</v>
      </c>
      <c r="F104" s="10" t="s">
        <v>0</v>
      </c>
      <c r="G104" s="10" t="s">
        <v>0</v>
      </c>
      <c r="H104" s="10" t="s">
        <v>0</v>
      </c>
      <c r="I104" s="10" t="s">
        <v>0</v>
      </c>
      <c r="J104" s="10" t="s">
        <v>0</v>
      </c>
      <c r="K104" s="27" t="s">
        <v>89</v>
      </c>
      <c r="L104" s="28">
        <f>IFERROR(VLOOKUP(K104,選択肢リスト!$F$3:$G$7,2,FALSE),M104)</f>
        <v>-1</v>
      </c>
      <c r="M104" s="24">
        <v>0</v>
      </c>
      <c r="N104" s="24"/>
      <c r="O104" s="24"/>
      <c r="P104" s="205">
        <v>1</v>
      </c>
      <c r="Q104" s="204"/>
      <c r="R104" s="149" t="str">
        <f t="shared" si="113"/>
        <v>〇</v>
      </c>
      <c r="S104" s="24"/>
      <c r="T104" s="24"/>
      <c r="U104" s="24"/>
      <c r="V104" s="24"/>
      <c r="W104" s="24"/>
      <c r="X104" s="24">
        <f t="shared" si="304"/>
        <v>0</v>
      </c>
      <c r="Y104" s="24">
        <f t="shared" si="305"/>
        <v>0</v>
      </c>
      <c r="Z104" s="28">
        <f t="shared" si="306"/>
        <v>-1</v>
      </c>
      <c r="AA104" s="28">
        <f t="shared" si="307"/>
        <v>0</v>
      </c>
      <c r="AB104" s="24">
        <f t="shared" si="308"/>
        <v>0</v>
      </c>
      <c r="AC104" s="24">
        <f t="shared" si="309"/>
        <v>0</v>
      </c>
      <c r="AD104" s="24">
        <f t="shared" si="310"/>
        <v>0</v>
      </c>
      <c r="AE104" s="24">
        <f t="shared" si="311"/>
        <v>0</v>
      </c>
      <c r="AF104" s="24"/>
      <c r="AG104" s="24"/>
      <c r="AH104" s="28">
        <f>IF(K104="□不要、対象外",0,IF(C104="リスク確認",2*P104,IF(C104="対策確認",1*P104,"ERROR")))</f>
        <v>1</v>
      </c>
      <c r="AI104" s="28">
        <f>IF(K104="□不要、対象外",0,IF(C104="リスク確認",2*Q104,IF(C104="対策確認",1*Q104,"ERROR")))</f>
        <v>0</v>
      </c>
      <c r="AJ104" s="24">
        <f t="shared" ref="AJ104:AM106" si="312">S104*$M104</f>
        <v>0</v>
      </c>
      <c r="AK104" s="24">
        <f t="shared" si="312"/>
        <v>0</v>
      </c>
      <c r="AL104" s="24">
        <f t="shared" si="312"/>
        <v>0</v>
      </c>
      <c r="AM104" s="24">
        <f t="shared" si="312"/>
        <v>0</v>
      </c>
      <c r="AN104" s="24"/>
      <c r="AO104" s="24"/>
      <c r="AP104" s="28">
        <f>IF(K104="□不要、対象外",0,IF(C104="リスク確認",0*P104,IF(C104="対策確認",-1*P104,"ERROR")))</f>
        <v>-1</v>
      </c>
      <c r="AQ104" s="28">
        <f>IF(K104="□不要、対象外",0,IF(C104="リスク確認",0*Q104,IF(C104="対策確認",-1*Q104,"ERROR")))</f>
        <v>0</v>
      </c>
      <c r="AR104" s="24"/>
      <c r="AS104" s="24"/>
      <c r="AT104" s="24"/>
      <c r="AU104" s="24"/>
    </row>
    <row r="105" spans="1:48" x14ac:dyDescent="0.4">
      <c r="A105" s="24" t="s">
        <v>520</v>
      </c>
      <c r="B105" s="207" t="s">
        <v>157</v>
      </c>
      <c r="C105" s="29" t="s">
        <v>66</v>
      </c>
      <c r="D105" s="10"/>
      <c r="E105" s="197" t="s">
        <v>467</v>
      </c>
      <c r="F105" s="10" t="s">
        <v>0</v>
      </c>
      <c r="G105" s="10" t="s">
        <v>0</v>
      </c>
      <c r="H105" s="10" t="s">
        <v>0</v>
      </c>
      <c r="I105" s="10" t="s">
        <v>0</v>
      </c>
      <c r="J105" s="10" t="s">
        <v>0</v>
      </c>
      <c r="K105" s="27" t="s">
        <v>89</v>
      </c>
      <c r="L105" s="28">
        <f>IFERROR(VLOOKUP(K105,選択肢リスト!$F$3:$G$7,2,FALSE),M105)</f>
        <v>-1</v>
      </c>
      <c r="M105" s="24">
        <v>0</v>
      </c>
      <c r="N105" s="24"/>
      <c r="O105" s="24"/>
      <c r="P105" s="204"/>
      <c r="Q105" s="205">
        <v>1</v>
      </c>
      <c r="R105" s="149" t="str">
        <f t="shared" si="113"/>
        <v>〇</v>
      </c>
      <c r="S105" s="24"/>
      <c r="T105" s="24"/>
      <c r="U105" s="24"/>
      <c r="V105" s="24"/>
      <c r="W105" s="24"/>
      <c r="X105" s="24">
        <f t="shared" si="304"/>
        <v>0</v>
      </c>
      <c r="Y105" s="24">
        <f t="shared" si="305"/>
        <v>0</v>
      </c>
      <c r="Z105" s="28">
        <f t="shared" si="306"/>
        <v>0</v>
      </c>
      <c r="AA105" s="28">
        <f t="shared" si="307"/>
        <v>-1</v>
      </c>
      <c r="AB105" s="24">
        <f t="shared" si="308"/>
        <v>0</v>
      </c>
      <c r="AC105" s="24">
        <f t="shared" si="309"/>
        <v>0</v>
      </c>
      <c r="AD105" s="24">
        <f t="shared" si="310"/>
        <v>0</v>
      </c>
      <c r="AE105" s="24">
        <f t="shared" si="311"/>
        <v>0</v>
      </c>
      <c r="AF105" s="24"/>
      <c r="AG105" s="24"/>
      <c r="AH105" s="28">
        <f>IF(K105="□不要、対象外",0,IF(C105="リスク確認",2*P105,IF(C105="対策確認",1*P105,"ERROR")))</f>
        <v>0</v>
      </c>
      <c r="AI105" s="28">
        <f>IF(K105="□不要、対象外",0,IF(C105="リスク確認",2*Q105,IF(C105="対策確認",1*Q105,"ERROR")))</f>
        <v>1</v>
      </c>
      <c r="AJ105" s="24">
        <f t="shared" si="312"/>
        <v>0</v>
      </c>
      <c r="AK105" s="24">
        <f t="shared" si="312"/>
        <v>0</v>
      </c>
      <c r="AL105" s="24">
        <f t="shared" si="312"/>
        <v>0</v>
      </c>
      <c r="AM105" s="24">
        <f t="shared" si="312"/>
        <v>0</v>
      </c>
      <c r="AN105" s="24"/>
      <c r="AO105" s="24"/>
      <c r="AP105" s="28">
        <f>IF(K105="□不要、対象外",0,IF(C105="リスク確認",0*P105,IF(C105="対策確認",-1*P105,"ERROR")))</f>
        <v>0</v>
      </c>
      <c r="AQ105" s="28">
        <f>IF(K105="□不要、対象外",0,IF(C105="リスク確認",0*Q105,IF(C105="対策確認",-1*Q105,"ERROR")))</f>
        <v>-1</v>
      </c>
      <c r="AR105" s="24"/>
      <c r="AS105" s="24"/>
      <c r="AT105" s="24"/>
      <c r="AU105" s="24"/>
    </row>
    <row r="106" spans="1:48" x14ac:dyDescent="0.4">
      <c r="A106" s="24" t="s">
        <v>520</v>
      </c>
      <c r="B106" s="207" t="s">
        <v>158</v>
      </c>
      <c r="C106" s="29" t="s">
        <v>66</v>
      </c>
      <c r="D106" s="10"/>
      <c r="E106" s="197" t="s">
        <v>455</v>
      </c>
      <c r="F106" s="10" t="s">
        <v>0</v>
      </c>
      <c r="G106" s="10" t="s">
        <v>0</v>
      </c>
      <c r="H106" s="10" t="s">
        <v>0</v>
      </c>
      <c r="I106" s="10" t="s">
        <v>0</v>
      </c>
      <c r="J106" s="10" t="s">
        <v>0</v>
      </c>
      <c r="K106" s="27" t="s">
        <v>89</v>
      </c>
      <c r="L106" s="28">
        <f>IFERROR(VLOOKUP(K106,選択肢リスト!$F$3:$G$7,2,FALSE),M106)</f>
        <v>-1</v>
      </c>
      <c r="M106" s="24">
        <v>0</v>
      </c>
      <c r="N106" s="24"/>
      <c r="O106" s="24"/>
      <c r="P106" s="205">
        <v>2</v>
      </c>
      <c r="Q106" s="205">
        <v>2</v>
      </c>
      <c r="R106" s="149" t="str">
        <f t="shared" si="113"/>
        <v>〇</v>
      </c>
      <c r="S106" s="24"/>
      <c r="T106" s="24"/>
      <c r="U106" s="24"/>
      <c r="V106" s="24"/>
      <c r="W106" s="24"/>
      <c r="X106" s="24">
        <f t="shared" si="304"/>
        <v>0</v>
      </c>
      <c r="Y106" s="24">
        <f t="shared" si="305"/>
        <v>0</v>
      </c>
      <c r="Z106" s="28">
        <f t="shared" si="306"/>
        <v>-2</v>
      </c>
      <c r="AA106" s="28">
        <f t="shared" si="307"/>
        <v>-2</v>
      </c>
      <c r="AB106" s="24">
        <f t="shared" si="308"/>
        <v>0</v>
      </c>
      <c r="AC106" s="24">
        <f t="shared" si="309"/>
        <v>0</v>
      </c>
      <c r="AD106" s="24">
        <f t="shared" si="310"/>
        <v>0</v>
      </c>
      <c r="AE106" s="24">
        <f t="shared" si="311"/>
        <v>0</v>
      </c>
      <c r="AF106" s="24"/>
      <c r="AG106" s="24"/>
      <c r="AH106" s="28">
        <f>IF(K106="□不要、対象外",0,IF(C106="リスク確認",2*P106,IF(C106="対策確認",1*P106,"ERROR")))</f>
        <v>2</v>
      </c>
      <c r="AI106" s="28">
        <f>IF(K106="□不要、対象外",0,IF(C106="リスク確認",2*Q106,IF(C106="対策確認",1*Q106,"ERROR")))</f>
        <v>2</v>
      </c>
      <c r="AJ106" s="24">
        <f t="shared" si="312"/>
        <v>0</v>
      </c>
      <c r="AK106" s="24">
        <f t="shared" si="312"/>
        <v>0</v>
      </c>
      <c r="AL106" s="24">
        <f t="shared" si="312"/>
        <v>0</v>
      </c>
      <c r="AM106" s="24">
        <f t="shared" si="312"/>
        <v>0</v>
      </c>
      <c r="AN106" s="24"/>
      <c r="AO106" s="24"/>
      <c r="AP106" s="28">
        <f>IF(K106="□不要、対象外",0,IF(C106="リスク確認",0*P106,IF(C106="対策確認",-1*P106,"ERROR")))</f>
        <v>-2</v>
      </c>
      <c r="AQ106" s="28">
        <f>IF(K106="□不要、対象外",0,IF(C106="リスク確認",0*Q106,IF(C106="対策確認",-1*Q106,"ERROR")))</f>
        <v>-2</v>
      </c>
      <c r="AR106" s="24"/>
      <c r="AS106" s="24"/>
      <c r="AT106" s="24"/>
      <c r="AU106" s="24"/>
    </row>
    <row r="107" spans="1:48" x14ac:dyDescent="0.4">
      <c r="A107" s="24" t="s">
        <v>520</v>
      </c>
      <c r="B107" s="10"/>
      <c r="C107" s="29" t="s">
        <v>66</v>
      </c>
      <c r="D107" s="10"/>
      <c r="E107" s="25" t="s">
        <v>172</v>
      </c>
      <c r="F107" s="10" t="s">
        <v>0</v>
      </c>
      <c r="G107" s="10" t="s">
        <v>0</v>
      </c>
      <c r="H107" s="10" t="s">
        <v>0</v>
      </c>
      <c r="I107" s="10" t="s">
        <v>0</v>
      </c>
      <c r="J107" s="10" t="s">
        <v>0</v>
      </c>
      <c r="K107" s="27" t="e">
        <f>IF(#REF!="","",#REF!)</f>
        <v>#REF!</v>
      </c>
      <c r="L107" s="28">
        <f>IFERROR(VLOOKUP(K107,選択肢リスト!$F$3:$G$7,2,FALSE),M107)</f>
        <v>0</v>
      </c>
      <c r="M107" s="24">
        <v>0</v>
      </c>
      <c r="N107" s="24">
        <v>1</v>
      </c>
      <c r="O107" s="24"/>
      <c r="P107" s="24"/>
      <c r="Q107" s="24"/>
      <c r="R107" s="149" t="str">
        <f t="shared" si="113"/>
        <v/>
      </c>
      <c r="S107" s="24"/>
      <c r="T107" s="24"/>
      <c r="U107" s="24"/>
      <c r="V107" s="24"/>
      <c r="W107" s="24"/>
      <c r="X107" s="24">
        <f t="shared" si="304"/>
        <v>0</v>
      </c>
      <c r="Y107" s="24">
        <f t="shared" si="305"/>
        <v>0</v>
      </c>
      <c r="Z107" s="28">
        <f t="shared" si="306"/>
        <v>0</v>
      </c>
      <c r="AA107" s="28">
        <f t="shared" si="307"/>
        <v>0</v>
      </c>
      <c r="AB107" s="24">
        <f t="shared" si="308"/>
        <v>0</v>
      </c>
      <c r="AC107" s="24">
        <f t="shared" si="309"/>
        <v>0</v>
      </c>
      <c r="AD107" s="24">
        <f t="shared" si="310"/>
        <v>0</v>
      </c>
      <c r="AE107" s="24">
        <f t="shared" si="311"/>
        <v>0</v>
      </c>
      <c r="AF107" s="24"/>
      <c r="AG107" s="24"/>
      <c r="AH107" s="28"/>
      <c r="AI107" s="28"/>
      <c r="AJ107" s="24"/>
      <c r="AK107" s="24"/>
      <c r="AL107" s="24"/>
      <c r="AM107" s="24"/>
      <c r="AN107" s="24"/>
      <c r="AO107" s="24"/>
      <c r="AP107" s="28"/>
      <c r="AQ107" s="28"/>
      <c r="AR107" s="24"/>
      <c r="AS107" s="24"/>
      <c r="AT107" s="24"/>
      <c r="AU107" s="24"/>
      <c r="AV107" s="189"/>
    </row>
    <row r="108" spans="1:48" x14ac:dyDescent="0.4">
      <c r="A108" s="24" t="s">
        <v>520</v>
      </c>
      <c r="B108" s="10"/>
      <c r="C108" s="29" t="s">
        <v>66</v>
      </c>
      <c r="D108" s="10"/>
      <c r="E108" s="25" t="s">
        <v>173</v>
      </c>
      <c r="F108" s="10" t="s">
        <v>0</v>
      </c>
      <c r="G108" s="10" t="s">
        <v>0</v>
      </c>
      <c r="H108" s="10" t="s">
        <v>0</v>
      </c>
      <c r="I108" s="10" t="s">
        <v>0</v>
      </c>
      <c r="J108" s="10" t="s">
        <v>0</v>
      </c>
      <c r="K108" s="27" t="e">
        <f>IF(#REF!="","",#REF!)</f>
        <v>#REF!</v>
      </c>
      <c r="L108" s="28">
        <f>IFERROR(VLOOKUP(K108,選択肢リスト!$F$3:$G$7,2,FALSE),M108)</f>
        <v>0</v>
      </c>
      <c r="M108" s="24">
        <v>0</v>
      </c>
      <c r="N108" s="24"/>
      <c r="O108" s="24">
        <v>1</v>
      </c>
      <c r="P108" s="24"/>
      <c r="Q108" s="24"/>
      <c r="R108" s="149" t="str">
        <f t="shared" si="113"/>
        <v/>
      </c>
      <c r="S108" s="24"/>
      <c r="T108" s="24"/>
      <c r="U108" s="24"/>
      <c r="V108" s="24"/>
      <c r="W108" s="24"/>
      <c r="X108" s="24">
        <f t="shared" si="304"/>
        <v>0</v>
      </c>
      <c r="Y108" s="24">
        <f t="shared" si="305"/>
        <v>0</v>
      </c>
      <c r="Z108" s="28">
        <f t="shared" si="306"/>
        <v>0</v>
      </c>
      <c r="AA108" s="28">
        <f t="shared" si="307"/>
        <v>0</v>
      </c>
      <c r="AB108" s="24">
        <f t="shared" si="308"/>
        <v>0</v>
      </c>
      <c r="AC108" s="24">
        <f t="shared" si="309"/>
        <v>0</v>
      </c>
      <c r="AD108" s="24">
        <f t="shared" si="310"/>
        <v>0</v>
      </c>
      <c r="AE108" s="24">
        <f t="shared" si="311"/>
        <v>0</v>
      </c>
      <c r="AF108" s="24"/>
      <c r="AG108" s="24"/>
      <c r="AH108" s="28"/>
      <c r="AI108" s="28"/>
      <c r="AJ108" s="24"/>
      <c r="AK108" s="24"/>
      <c r="AL108" s="24"/>
      <c r="AM108" s="24"/>
      <c r="AN108" s="24"/>
      <c r="AO108" s="24"/>
      <c r="AP108" s="28"/>
      <c r="AQ108" s="28"/>
      <c r="AR108" s="24"/>
      <c r="AS108" s="24"/>
      <c r="AT108" s="24"/>
      <c r="AU108" s="24"/>
      <c r="AV108" s="189"/>
    </row>
    <row r="109" spans="1:48" x14ac:dyDescent="0.4">
      <c r="A109" s="24" t="s">
        <v>520</v>
      </c>
      <c r="B109" s="207" t="s">
        <v>159</v>
      </c>
      <c r="C109" s="29" t="s">
        <v>66</v>
      </c>
      <c r="D109" s="10"/>
      <c r="E109" s="197" t="s">
        <v>174</v>
      </c>
      <c r="F109" s="10" t="s">
        <v>0</v>
      </c>
      <c r="G109" s="10" t="s">
        <v>0</v>
      </c>
      <c r="H109" s="10" t="s">
        <v>0</v>
      </c>
      <c r="I109" s="10" t="s">
        <v>0</v>
      </c>
      <c r="J109" s="10" t="s">
        <v>0</v>
      </c>
      <c r="K109" s="27" t="s">
        <v>89</v>
      </c>
      <c r="L109" s="28">
        <f>IFERROR(VLOOKUP(K109,選択肢リスト!$F$3:$G$7,2,FALSE),M109)</f>
        <v>-1</v>
      </c>
      <c r="M109" s="24">
        <v>0</v>
      </c>
      <c r="N109" s="24"/>
      <c r="O109" s="24"/>
      <c r="P109" s="205">
        <v>1</v>
      </c>
      <c r="Q109" s="205">
        <v>1</v>
      </c>
      <c r="R109" s="149" t="str">
        <f t="shared" si="113"/>
        <v>〇</v>
      </c>
      <c r="S109" s="24"/>
      <c r="T109" s="24"/>
      <c r="U109" s="24"/>
      <c r="V109" s="24"/>
      <c r="W109" s="24"/>
      <c r="X109" s="24">
        <f t="shared" si="304"/>
        <v>0</v>
      </c>
      <c r="Y109" s="24">
        <f t="shared" si="305"/>
        <v>0</v>
      </c>
      <c r="Z109" s="28">
        <f t="shared" si="306"/>
        <v>-1</v>
      </c>
      <c r="AA109" s="28">
        <f t="shared" si="307"/>
        <v>-1</v>
      </c>
      <c r="AB109" s="24">
        <f t="shared" si="308"/>
        <v>0</v>
      </c>
      <c r="AC109" s="24">
        <f t="shared" si="309"/>
        <v>0</v>
      </c>
      <c r="AD109" s="24">
        <f t="shared" si="310"/>
        <v>0</v>
      </c>
      <c r="AE109" s="24">
        <f t="shared" si="311"/>
        <v>0</v>
      </c>
      <c r="AF109" s="24"/>
      <c r="AG109" s="24"/>
      <c r="AH109" s="28">
        <f>IF(K109="□不要、対象外",0,IF(C109="リスク確認",2*P109,IF(C109="対策確認",1*P109,"ERROR")))</f>
        <v>1</v>
      </c>
      <c r="AI109" s="28">
        <f>IF(K109="□不要、対象外",0,IF(C109="リスク確認",2*Q109,IF(C109="対策確認",1*Q109,"ERROR")))</f>
        <v>1</v>
      </c>
      <c r="AJ109" s="24">
        <f>S109*$M109</f>
        <v>0</v>
      </c>
      <c r="AK109" s="24">
        <f>T109*$M109</f>
        <v>0</v>
      </c>
      <c r="AL109" s="24">
        <f>U109*$M109</f>
        <v>0</v>
      </c>
      <c r="AM109" s="24">
        <f>V109*$M109</f>
        <v>0</v>
      </c>
      <c r="AN109" s="24"/>
      <c r="AO109" s="24"/>
      <c r="AP109" s="28">
        <f>IF(K109="□不要、対象外",0,IF(C109="リスク確認",0*P109,IF(C109="対策確認",-1*P109,"ERROR")))</f>
        <v>-1</v>
      </c>
      <c r="AQ109" s="28">
        <f>IF(K109="□不要、対象外",0,IF(C109="リスク確認",0*Q109,IF(C109="対策確認",-1*Q109,"ERROR")))</f>
        <v>-1</v>
      </c>
      <c r="AR109" s="24"/>
      <c r="AS109" s="24"/>
      <c r="AT109" s="24"/>
      <c r="AU109" s="24"/>
    </row>
    <row r="110" spans="1:48" ht="37.5" x14ac:dyDescent="0.4">
      <c r="A110" s="24" t="s">
        <v>520</v>
      </c>
      <c r="B110" s="10"/>
      <c r="C110" s="29" t="s">
        <v>66</v>
      </c>
      <c r="D110" s="10"/>
      <c r="E110" s="25" t="s">
        <v>180</v>
      </c>
      <c r="F110" s="10" t="s">
        <v>0</v>
      </c>
      <c r="G110" s="10" t="s">
        <v>0</v>
      </c>
      <c r="H110" s="10" t="s">
        <v>0</v>
      </c>
      <c r="I110" s="10" t="s">
        <v>0</v>
      </c>
      <c r="J110" s="10" t="s">
        <v>0</v>
      </c>
      <c r="K110" s="27" t="e">
        <f>IF(#REF!="","",#REF!)</f>
        <v>#REF!</v>
      </c>
      <c r="L110" s="28">
        <f>IFERROR(VLOOKUP(K110,選択肢リスト!$F$3:$G$7,2,FALSE),M110)</f>
        <v>0</v>
      </c>
      <c r="M110" s="24">
        <v>0</v>
      </c>
      <c r="N110" s="24">
        <v>1</v>
      </c>
      <c r="O110" s="24">
        <v>1</v>
      </c>
      <c r="P110" s="24"/>
      <c r="Q110" s="24"/>
      <c r="R110" s="149" t="str">
        <f t="shared" si="113"/>
        <v/>
      </c>
      <c r="S110" s="24"/>
      <c r="T110" s="24"/>
      <c r="U110" s="24"/>
      <c r="V110" s="24"/>
      <c r="W110" s="24"/>
      <c r="X110" s="24">
        <f t="shared" si="304"/>
        <v>0</v>
      </c>
      <c r="Y110" s="24">
        <f t="shared" si="305"/>
        <v>0</v>
      </c>
      <c r="Z110" s="28">
        <f t="shared" si="306"/>
        <v>0</v>
      </c>
      <c r="AA110" s="28">
        <f t="shared" si="307"/>
        <v>0</v>
      </c>
      <c r="AB110" s="24">
        <f t="shared" si="308"/>
        <v>0</v>
      </c>
      <c r="AC110" s="24">
        <f t="shared" si="309"/>
        <v>0</v>
      </c>
      <c r="AD110" s="24">
        <f t="shared" si="310"/>
        <v>0</v>
      </c>
      <c r="AE110" s="24">
        <f t="shared" si="311"/>
        <v>0</v>
      </c>
      <c r="AF110" s="24"/>
      <c r="AG110" s="24"/>
      <c r="AH110" s="28"/>
      <c r="AI110" s="28"/>
      <c r="AJ110" s="24"/>
      <c r="AK110" s="24"/>
      <c r="AL110" s="24"/>
      <c r="AM110" s="24"/>
      <c r="AN110" s="24"/>
      <c r="AO110" s="24"/>
      <c r="AP110" s="28"/>
      <c r="AQ110" s="28"/>
      <c r="AR110" s="24"/>
      <c r="AS110" s="24"/>
      <c r="AT110" s="24"/>
      <c r="AU110" s="24"/>
      <c r="AV110" s="189"/>
    </row>
    <row r="111" spans="1:48" ht="37.5" x14ac:dyDescent="0.4">
      <c r="A111" s="24" t="s">
        <v>520</v>
      </c>
      <c r="B111" s="207" t="s">
        <v>160</v>
      </c>
      <c r="C111" s="29" t="s">
        <v>66</v>
      </c>
      <c r="D111" s="10"/>
      <c r="E111" s="197" t="s">
        <v>181</v>
      </c>
      <c r="F111" s="10" t="s">
        <v>0</v>
      </c>
      <c r="G111" s="10" t="s">
        <v>0</v>
      </c>
      <c r="H111" s="10" t="s">
        <v>0</v>
      </c>
      <c r="I111" s="10" t="s">
        <v>0</v>
      </c>
      <c r="J111" s="10" t="s">
        <v>0</v>
      </c>
      <c r="K111" s="27" t="s">
        <v>91</v>
      </c>
      <c r="L111" s="28">
        <f>IFERROR(VLOOKUP(K111,選択肢リスト!$F$3:$G$7,2,FALSE),M111)</f>
        <v>1</v>
      </c>
      <c r="M111" s="24">
        <v>0</v>
      </c>
      <c r="N111" s="24"/>
      <c r="O111" s="24"/>
      <c r="P111" s="204"/>
      <c r="Q111" s="205">
        <v>1</v>
      </c>
      <c r="R111" s="149" t="str">
        <f t="shared" ref="R111:R128" si="313">IF(AND(P111="",Q111=""),"","〇")</f>
        <v>〇</v>
      </c>
      <c r="S111" s="24"/>
      <c r="T111" s="24"/>
      <c r="U111" s="24"/>
      <c r="V111" s="24"/>
      <c r="W111" s="24"/>
      <c r="X111" s="24">
        <f t="shared" ref="X111" si="314">$L111*N111</f>
        <v>0</v>
      </c>
      <c r="Y111" s="24">
        <f t="shared" ref="Y111" si="315">$L111*O111</f>
        <v>0</v>
      </c>
      <c r="Z111" s="28">
        <f t="shared" ref="Z111" si="316">$L111*P111</f>
        <v>0</v>
      </c>
      <c r="AA111" s="28">
        <f t="shared" ref="AA111" si="317">$L111*Q111</f>
        <v>1</v>
      </c>
      <c r="AB111" s="24">
        <f t="shared" ref="AB111" si="318">$L111*S111</f>
        <v>0</v>
      </c>
      <c r="AC111" s="24">
        <f t="shared" ref="AC111" si="319">$L111*T111</f>
        <v>0</v>
      </c>
      <c r="AD111" s="24">
        <f t="shared" ref="AD111" si="320">$L111*U111</f>
        <v>0</v>
      </c>
      <c r="AE111" s="24">
        <f t="shared" ref="AE111" si="321">$L111*V111</f>
        <v>0</v>
      </c>
      <c r="AF111" s="24"/>
      <c r="AG111" s="24"/>
      <c r="AH111" s="28">
        <f>IF(K111="□不要、対象外",0,IF(C111="リスク確認",2*P111,IF(C111="対策確認",1*P111,"ERROR")))</f>
        <v>0</v>
      </c>
      <c r="AI111" s="28">
        <f>IF(K111="□不要、対象外",0,IF(C111="リスク確認",2*Q111,IF(C111="対策確認",1*Q111,"ERROR")))</f>
        <v>1</v>
      </c>
      <c r="AJ111" s="24">
        <f>S111*$M111</f>
        <v>0</v>
      </c>
      <c r="AK111" s="24">
        <f>T111*$M111</f>
        <v>0</v>
      </c>
      <c r="AL111" s="24">
        <f>U111*$M111</f>
        <v>0</v>
      </c>
      <c r="AM111" s="24">
        <f>V111*$M111</f>
        <v>0</v>
      </c>
      <c r="AN111" s="24"/>
      <c r="AO111" s="24"/>
      <c r="AP111" s="28">
        <f>IF(K111="□不要、対象外",0,IF(C111="リスク確認",0*P111,IF(C111="対策確認",-1*P111,"ERROR")))</f>
        <v>0</v>
      </c>
      <c r="AQ111" s="28">
        <f>IF(K111="□不要、対象外",0,IF(C111="リスク確認",0*Q111,IF(C111="対策確認",-1*Q111,"ERROR")))</f>
        <v>-1</v>
      </c>
      <c r="AR111" s="24"/>
      <c r="AS111" s="24"/>
      <c r="AT111" s="24"/>
      <c r="AU111" s="24"/>
    </row>
    <row r="112" spans="1:48" ht="37.5" x14ac:dyDescent="0.4">
      <c r="A112" s="24" t="s">
        <v>520</v>
      </c>
      <c r="B112" s="207" t="s">
        <v>551</v>
      </c>
      <c r="C112" s="29" t="s">
        <v>66</v>
      </c>
      <c r="D112" s="10"/>
      <c r="E112" s="197" t="s">
        <v>182</v>
      </c>
      <c r="F112" s="10" t="s">
        <v>0</v>
      </c>
      <c r="G112" s="10" t="s">
        <v>0</v>
      </c>
      <c r="H112" s="10" t="s">
        <v>0</v>
      </c>
      <c r="I112" s="10" t="s">
        <v>0</v>
      </c>
      <c r="J112" s="10" t="s">
        <v>0</v>
      </c>
      <c r="K112" s="27" t="s">
        <v>89</v>
      </c>
      <c r="L112" s="28">
        <f>IFERROR(VLOOKUP(K112,選択肢リスト!$F$3:$G$7,2,FALSE),M112)</f>
        <v>-1</v>
      </c>
      <c r="M112" s="24">
        <v>0</v>
      </c>
      <c r="N112" s="24"/>
      <c r="O112" s="24"/>
      <c r="P112" s="205">
        <v>1</v>
      </c>
      <c r="Q112" s="205">
        <v>1</v>
      </c>
      <c r="R112" s="149" t="str">
        <f t="shared" si="313"/>
        <v>〇</v>
      </c>
      <c r="S112" s="24"/>
      <c r="T112" s="24"/>
      <c r="U112" s="24"/>
      <c r="V112" s="24"/>
      <c r="W112" s="24"/>
      <c r="X112" s="24">
        <f t="shared" ref="X112" si="322">$L112*N112</f>
        <v>0</v>
      </c>
      <c r="Y112" s="24">
        <f t="shared" ref="Y112" si="323">$L112*O112</f>
        <v>0</v>
      </c>
      <c r="Z112" s="28">
        <f t="shared" ref="Z112" si="324">$L112*P112</f>
        <v>-1</v>
      </c>
      <c r="AA112" s="28">
        <f t="shared" ref="AA112" si="325">$L112*Q112</f>
        <v>-1</v>
      </c>
      <c r="AB112" s="24">
        <f t="shared" ref="AB112" si="326">$L112*S112</f>
        <v>0</v>
      </c>
      <c r="AC112" s="24">
        <f t="shared" ref="AC112" si="327">$L112*T112</f>
        <v>0</v>
      </c>
      <c r="AD112" s="24">
        <f t="shared" ref="AD112" si="328">$L112*U112</f>
        <v>0</v>
      </c>
      <c r="AE112" s="24">
        <f t="shared" ref="AE112" si="329">$L112*V112</f>
        <v>0</v>
      </c>
      <c r="AF112" s="24"/>
      <c r="AG112" s="24"/>
      <c r="AH112" s="28">
        <f>IF(K112="□不要、対象外",0,IF(C112="リスク確認",2*P112,IF(C112="対策確認",1*P112,"ERROR")))</f>
        <v>1</v>
      </c>
      <c r="AI112" s="28">
        <f>IF(K112="□不要、対象外",0,IF(C112="リスク確認",2*Q112,IF(C112="対策確認",1*Q112,"ERROR")))</f>
        <v>1</v>
      </c>
      <c r="AJ112" s="24">
        <f t="shared" ref="AJ112" si="330">S112*$M112</f>
        <v>0</v>
      </c>
      <c r="AK112" s="24">
        <f t="shared" ref="AK112" si="331">T112*$M112</f>
        <v>0</v>
      </c>
      <c r="AL112" s="24">
        <f t="shared" ref="AL112" si="332">U112*$M112</f>
        <v>0</v>
      </c>
      <c r="AM112" s="24">
        <f t="shared" ref="AM112" si="333">V112*$M112</f>
        <v>0</v>
      </c>
      <c r="AN112" s="24"/>
      <c r="AO112" s="24"/>
      <c r="AP112" s="28">
        <f>IF(K112="□不要、対象外",0,IF(C112="リスク確認",0*P112,IF(C112="対策確認",-1*P112,"ERROR")))</f>
        <v>-1</v>
      </c>
      <c r="AQ112" s="28">
        <f>IF(K112="□不要、対象外",0,IF(C112="リスク確認",0*Q112,IF(C112="対策確認",-1*Q112,"ERROR")))</f>
        <v>-1</v>
      </c>
      <c r="AR112" s="24"/>
      <c r="AS112" s="24"/>
      <c r="AT112" s="24"/>
      <c r="AU112" s="24"/>
    </row>
    <row r="113" spans="1:48" x14ac:dyDescent="0.4">
      <c r="A113" s="24"/>
      <c r="B113" s="10"/>
      <c r="C113" s="10"/>
      <c r="D113" s="10"/>
      <c r="E113" s="25"/>
      <c r="F113" s="10"/>
      <c r="G113" s="10"/>
      <c r="H113" s="10"/>
      <c r="I113" s="10"/>
      <c r="J113" s="10"/>
      <c r="K113" s="23" t="e">
        <f>IF(#REF!="","",#REF!)</f>
        <v>#REF!</v>
      </c>
      <c r="L113" s="10"/>
      <c r="M113" s="24"/>
      <c r="N113" s="24"/>
      <c r="O113" s="24"/>
      <c r="P113" s="24"/>
      <c r="Q113" s="24"/>
      <c r="R113" s="149" t="str">
        <f t="shared" si="313"/>
        <v/>
      </c>
      <c r="S113" s="24"/>
      <c r="T113" s="24"/>
      <c r="U113" s="24"/>
      <c r="V113" s="24"/>
      <c r="W113" s="24"/>
      <c r="X113" s="24"/>
      <c r="Y113" s="24"/>
      <c r="Z113" s="10"/>
      <c r="AA113" s="10"/>
      <c r="AB113" s="24"/>
      <c r="AC113" s="24"/>
      <c r="AD113" s="24"/>
      <c r="AE113" s="24"/>
      <c r="AF113" s="24"/>
      <c r="AG113" s="24"/>
      <c r="AH113" s="10"/>
      <c r="AI113" s="10"/>
      <c r="AJ113" s="24"/>
      <c r="AK113" s="24"/>
      <c r="AL113" s="24"/>
      <c r="AM113" s="24"/>
      <c r="AN113" s="24"/>
      <c r="AO113" s="24"/>
      <c r="AP113" s="10"/>
      <c r="AQ113" s="10"/>
      <c r="AR113" s="24"/>
      <c r="AS113" s="24"/>
      <c r="AT113" s="24"/>
      <c r="AU113" s="24"/>
      <c r="AV113" s="189"/>
    </row>
    <row r="114" spans="1:48" x14ac:dyDescent="0.4">
      <c r="A114" s="31" t="s">
        <v>517</v>
      </c>
      <c r="B114" s="31"/>
      <c r="C114" s="31" t="s">
        <v>53</v>
      </c>
      <c r="D114" s="32"/>
      <c r="E114" s="195"/>
      <c r="F114" s="32"/>
      <c r="G114" s="32"/>
      <c r="H114" s="32"/>
      <c r="I114" s="32"/>
      <c r="J114" s="32"/>
      <c r="K114" s="33" t="e">
        <f>IF(#REF!="","",#REF!)</f>
        <v>#REF!</v>
      </c>
      <c r="L114" s="32"/>
      <c r="M114" s="34"/>
      <c r="N114" s="34"/>
      <c r="O114" s="34"/>
      <c r="P114" s="202" t="s">
        <v>0</v>
      </c>
      <c r="Q114" s="202" t="s">
        <v>0</v>
      </c>
      <c r="R114" s="32" t="s">
        <v>0</v>
      </c>
      <c r="S114" s="34"/>
      <c r="T114" s="34"/>
      <c r="U114" s="34"/>
      <c r="V114" s="34"/>
      <c r="W114" s="31" t="s">
        <v>106</v>
      </c>
      <c r="X114" s="35">
        <f>SUM(X117:X128)</f>
        <v>-1</v>
      </c>
      <c r="Y114" s="35">
        <f t="shared" ref="Y114:AE114" si="334">SUM(Y117:Y128)</f>
        <v>-2</v>
      </c>
      <c r="Z114" s="35">
        <f>SUM(Z115:Z128)</f>
        <v>-2</v>
      </c>
      <c r="AA114" s="35">
        <f>SUM(AA115:AA128)</f>
        <v>-5</v>
      </c>
      <c r="AB114" s="35">
        <f t="shared" si="334"/>
        <v>0</v>
      </c>
      <c r="AC114" s="35">
        <f t="shared" si="334"/>
        <v>0</v>
      </c>
      <c r="AD114" s="35">
        <f t="shared" si="334"/>
        <v>0</v>
      </c>
      <c r="AE114" s="35">
        <f t="shared" si="334"/>
        <v>0</v>
      </c>
      <c r="AF114" s="35"/>
      <c r="AG114" s="35"/>
      <c r="AH114" s="35">
        <f>SUM(AH115:AH128)</f>
        <v>2</v>
      </c>
      <c r="AI114" s="35">
        <f>SUM(AI115:AI128)</f>
        <v>5</v>
      </c>
      <c r="AJ114" s="35">
        <f>SUM(AJ117:AJ128)</f>
        <v>0</v>
      </c>
      <c r="AK114" s="35">
        <f>SUM(AK117:AK128)</f>
        <v>0</v>
      </c>
      <c r="AL114" s="35">
        <f>SUM(AL117:AL128)</f>
        <v>0</v>
      </c>
      <c r="AM114" s="35">
        <f>SUM(AM117:AM128)</f>
        <v>0</v>
      </c>
      <c r="AN114" s="35"/>
      <c r="AO114" s="35"/>
      <c r="AP114" s="35">
        <f>SUM(AP115:AP128)</f>
        <v>-2</v>
      </c>
      <c r="AQ114" s="35">
        <f>SUM(AQ115:AQ128)</f>
        <v>-5</v>
      </c>
      <c r="AR114" s="35"/>
      <c r="AS114" s="35"/>
      <c r="AT114" s="35"/>
      <c r="AU114" s="35"/>
      <c r="AV114" s="189"/>
    </row>
    <row r="115" spans="1:48" x14ac:dyDescent="0.4">
      <c r="A115" s="24" t="s">
        <v>517</v>
      </c>
      <c r="B115" s="10"/>
      <c r="C115" s="29" t="s">
        <v>66</v>
      </c>
      <c r="D115" s="10"/>
      <c r="E115" s="25" t="s">
        <v>131</v>
      </c>
      <c r="F115" s="10" t="s">
        <v>0</v>
      </c>
      <c r="G115" s="10" t="s">
        <v>0</v>
      </c>
      <c r="H115" s="10" t="s">
        <v>0</v>
      </c>
      <c r="I115" s="10" t="s">
        <v>0</v>
      </c>
      <c r="J115" s="10" t="s">
        <v>0</v>
      </c>
      <c r="K115" s="27" t="e">
        <f>IF(#REF!="","",#REF!)</f>
        <v>#REF!</v>
      </c>
      <c r="L115" s="28">
        <f>IFERROR(VLOOKUP(K115,選択肢リスト!$F$3:$G$7,2,FALSE),M115)</f>
        <v>0</v>
      </c>
      <c r="M115" s="24">
        <v>0</v>
      </c>
      <c r="N115" s="24">
        <v>1</v>
      </c>
      <c r="O115" s="24">
        <v>1</v>
      </c>
      <c r="P115" s="24"/>
      <c r="Q115" s="24"/>
      <c r="R115" s="149" t="str">
        <f t="shared" ref="R115:R116" si="335">IF(AND(P115="",Q115=""),"","〇")</f>
        <v/>
      </c>
      <c r="S115" s="24"/>
      <c r="T115" s="24"/>
      <c r="U115" s="24"/>
      <c r="V115" s="24"/>
      <c r="W115" s="24"/>
      <c r="X115" s="24">
        <f t="shared" ref="X115:X116" si="336">$L115*N115</f>
        <v>0</v>
      </c>
      <c r="Y115" s="24">
        <f t="shared" ref="Y115:Y116" si="337">$L115*O115</f>
        <v>0</v>
      </c>
      <c r="Z115" s="28">
        <f t="shared" ref="Z115:Z116" si="338">$L115*P115</f>
        <v>0</v>
      </c>
      <c r="AA115" s="28">
        <f t="shared" ref="AA115:AA116" si="339">$L115*Q115</f>
        <v>0</v>
      </c>
      <c r="AB115" s="24">
        <f t="shared" ref="AB115:AB116" si="340">$L115*S115</f>
        <v>0</v>
      </c>
      <c r="AC115" s="24">
        <f t="shared" ref="AC115:AC116" si="341">$L115*T115</f>
        <v>0</v>
      </c>
      <c r="AD115" s="24">
        <f t="shared" ref="AD115:AD116" si="342">$L115*U115</f>
        <v>0</v>
      </c>
      <c r="AE115" s="24">
        <f t="shared" ref="AE115:AE116" si="343">$L115*V115</f>
        <v>0</v>
      </c>
      <c r="AF115" s="24"/>
      <c r="AG115" s="24"/>
      <c r="AH115" s="28"/>
      <c r="AI115" s="28"/>
      <c r="AJ115" s="24"/>
      <c r="AK115" s="24"/>
      <c r="AL115" s="24"/>
      <c r="AM115" s="24"/>
      <c r="AN115" s="24"/>
      <c r="AO115" s="24"/>
      <c r="AP115" s="28"/>
      <c r="AQ115" s="28"/>
      <c r="AR115" s="24"/>
      <c r="AS115" s="24"/>
      <c r="AT115" s="24"/>
      <c r="AU115" s="24"/>
      <c r="AV115" s="189"/>
    </row>
    <row r="116" spans="1:48" x14ac:dyDescent="0.4">
      <c r="A116" s="24" t="s">
        <v>517</v>
      </c>
      <c r="B116" s="207" t="s">
        <v>163</v>
      </c>
      <c r="C116" s="29" t="s">
        <v>66</v>
      </c>
      <c r="D116" s="10"/>
      <c r="E116" s="197" t="s">
        <v>130</v>
      </c>
      <c r="F116" s="10" t="s">
        <v>0</v>
      </c>
      <c r="G116" s="10" t="s">
        <v>0</v>
      </c>
      <c r="H116" s="10" t="s">
        <v>0</v>
      </c>
      <c r="I116" s="10" t="s">
        <v>0</v>
      </c>
      <c r="J116" s="10" t="s">
        <v>0</v>
      </c>
      <c r="K116" s="27" t="s">
        <v>89</v>
      </c>
      <c r="L116" s="28">
        <f>IFERROR(VLOOKUP(K116,選択肢リスト!$F$3:$G$7,2,FALSE),M116)</f>
        <v>-1</v>
      </c>
      <c r="M116" s="24">
        <v>0</v>
      </c>
      <c r="N116" s="24"/>
      <c r="O116" s="24"/>
      <c r="P116" s="204"/>
      <c r="Q116" s="205">
        <v>1</v>
      </c>
      <c r="R116" s="149" t="str">
        <f t="shared" si="335"/>
        <v>〇</v>
      </c>
      <c r="S116" s="24"/>
      <c r="T116" s="24"/>
      <c r="U116" s="24"/>
      <c r="V116" s="24"/>
      <c r="W116" s="24"/>
      <c r="X116" s="24">
        <f t="shared" si="336"/>
        <v>0</v>
      </c>
      <c r="Y116" s="24">
        <f t="shared" si="337"/>
        <v>0</v>
      </c>
      <c r="Z116" s="28">
        <f t="shared" si="338"/>
        <v>0</v>
      </c>
      <c r="AA116" s="28">
        <f t="shared" si="339"/>
        <v>-1</v>
      </c>
      <c r="AB116" s="24">
        <f t="shared" si="340"/>
        <v>0</v>
      </c>
      <c r="AC116" s="24">
        <f t="shared" si="341"/>
        <v>0</v>
      </c>
      <c r="AD116" s="24">
        <f t="shared" si="342"/>
        <v>0</v>
      </c>
      <c r="AE116" s="24">
        <f t="shared" si="343"/>
        <v>0</v>
      </c>
      <c r="AF116" s="24"/>
      <c r="AG116" s="24"/>
      <c r="AH116" s="28">
        <f>IF(K116="□不要、対象外",0,IF(C116="リスク確認",2*P116,IF(C116="対策確認",1*P116,"ERROR")))</f>
        <v>0</v>
      </c>
      <c r="AI116" s="28">
        <f>IF(K116="□不要、対象外",0,IF(C116="リスク確認",2*Q116,IF(C116="対策確認",1*Q116,"ERROR")))</f>
        <v>1</v>
      </c>
      <c r="AJ116" s="24">
        <f>S116*$M116</f>
        <v>0</v>
      </c>
      <c r="AK116" s="24">
        <f>T116*$M116</f>
        <v>0</v>
      </c>
      <c r="AL116" s="24">
        <f>U116*$M116</f>
        <v>0</v>
      </c>
      <c r="AM116" s="24">
        <f>V116*$M116</f>
        <v>0</v>
      </c>
      <c r="AN116" s="24"/>
      <c r="AO116" s="24"/>
      <c r="AP116" s="28">
        <f>IF(K116="□不要、対象外",0,IF(C116="リスク確認",0*P116,IF(C116="対策確認",-1*P116,"ERROR")))</f>
        <v>0</v>
      </c>
      <c r="AQ116" s="28">
        <f>IF(K116="□不要、対象外",0,IF(C116="リスク確認",0*Q116,IF(C116="対策確認",-1*Q116,"ERROR")))</f>
        <v>-1</v>
      </c>
      <c r="AR116" s="24"/>
      <c r="AS116" s="24"/>
      <c r="AT116" s="24"/>
      <c r="AU116" s="24"/>
    </row>
    <row r="117" spans="1:48" x14ac:dyDescent="0.4">
      <c r="A117" s="24" t="s">
        <v>517</v>
      </c>
      <c r="B117" s="10"/>
      <c r="C117" s="29" t="s">
        <v>66</v>
      </c>
      <c r="D117" s="10"/>
      <c r="E117" s="25" t="s">
        <v>175</v>
      </c>
      <c r="F117" s="10" t="s">
        <v>0</v>
      </c>
      <c r="G117" s="10" t="s">
        <v>0</v>
      </c>
      <c r="H117" s="10" t="s">
        <v>0</v>
      </c>
      <c r="I117" s="10" t="s">
        <v>0</v>
      </c>
      <c r="J117" s="10" t="s">
        <v>0</v>
      </c>
      <c r="K117" s="27" t="e">
        <f>IF(#REF!="","",#REF!)</f>
        <v>#REF!</v>
      </c>
      <c r="L117" s="28">
        <f>IFERROR(VLOOKUP(K117,選択肢リスト!$F$3:$G$7,2,FALSE),M117)</f>
        <v>0</v>
      </c>
      <c r="M117" s="24">
        <v>0</v>
      </c>
      <c r="N117" s="24">
        <v>1</v>
      </c>
      <c r="O117" s="24"/>
      <c r="P117" s="24"/>
      <c r="Q117" s="24"/>
      <c r="R117" s="149" t="str">
        <f t="shared" si="313"/>
        <v/>
      </c>
      <c r="S117" s="24"/>
      <c r="T117" s="24"/>
      <c r="U117" s="24"/>
      <c r="V117" s="24"/>
      <c r="W117" s="24"/>
      <c r="X117" s="24">
        <f t="shared" ref="X117:AA123" si="344">$L117*N117</f>
        <v>0</v>
      </c>
      <c r="Y117" s="24">
        <f t="shared" si="344"/>
        <v>0</v>
      </c>
      <c r="Z117" s="28">
        <f t="shared" si="344"/>
        <v>0</v>
      </c>
      <c r="AA117" s="28">
        <f t="shared" si="344"/>
        <v>0</v>
      </c>
      <c r="AB117" s="24">
        <f t="shared" ref="AB117:AE123" si="345">$L117*S117</f>
        <v>0</v>
      </c>
      <c r="AC117" s="24">
        <f t="shared" si="345"/>
        <v>0</v>
      </c>
      <c r="AD117" s="24">
        <f t="shared" si="345"/>
        <v>0</v>
      </c>
      <c r="AE117" s="24">
        <f t="shared" si="345"/>
        <v>0</v>
      </c>
      <c r="AF117" s="24"/>
      <c r="AG117" s="24"/>
      <c r="AH117" s="28"/>
      <c r="AI117" s="28"/>
      <c r="AJ117" s="24"/>
      <c r="AK117" s="24"/>
      <c r="AL117" s="24"/>
      <c r="AM117" s="24"/>
      <c r="AN117" s="24"/>
      <c r="AO117" s="24"/>
      <c r="AP117" s="28"/>
      <c r="AQ117" s="28"/>
      <c r="AR117" s="24"/>
      <c r="AS117" s="24"/>
      <c r="AT117" s="24"/>
      <c r="AU117" s="24"/>
      <c r="AV117" s="189"/>
    </row>
    <row r="118" spans="1:48" x14ac:dyDescent="0.4">
      <c r="A118" s="24" t="s">
        <v>517</v>
      </c>
      <c r="B118" s="10"/>
      <c r="C118" s="29" t="s">
        <v>66</v>
      </c>
      <c r="D118" s="10"/>
      <c r="E118" s="25" t="s">
        <v>176</v>
      </c>
      <c r="F118" s="10" t="s">
        <v>0</v>
      </c>
      <c r="G118" s="10" t="s">
        <v>0</v>
      </c>
      <c r="H118" s="10" t="s">
        <v>0</v>
      </c>
      <c r="I118" s="10" t="s">
        <v>0</v>
      </c>
      <c r="J118" s="10" t="s">
        <v>0</v>
      </c>
      <c r="K118" s="27" t="e">
        <f>IF(#REF!="","",#REF!)</f>
        <v>#REF!</v>
      </c>
      <c r="L118" s="28">
        <f>IFERROR(VLOOKUP(K118,選択肢リスト!$F$3:$G$7,2,FALSE),M118)</f>
        <v>0</v>
      </c>
      <c r="M118" s="24">
        <v>0</v>
      </c>
      <c r="N118" s="24"/>
      <c r="O118" s="24">
        <v>1</v>
      </c>
      <c r="P118" s="24"/>
      <c r="Q118" s="24"/>
      <c r="R118" s="149" t="str">
        <f t="shared" si="313"/>
        <v/>
      </c>
      <c r="S118" s="24"/>
      <c r="T118" s="24"/>
      <c r="U118" s="24"/>
      <c r="V118" s="24"/>
      <c r="W118" s="24"/>
      <c r="X118" s="24">
        <f t="shared" si="344"/>
        <v>0</v>
      </c>
      <c r="Y118" s="24">
        <f t="shared" si="344"/>
        <v>0</v>
      </c>
      <c r="Z118" s="28">
        <f t="shared" si="344"/>
        <v>0</v>
      </c>
      <c r="AA118" s="28">
        <f t="shared" si="344"/>
        <v>0</v>
      </c>
      <c r="AB118" s="24">
        <f t="shared" si="345"/>
        <v>0</v>
      </c>
      <c r="AC118" s="24">
        <f t="shared" si="345"/>
        <v>0</v>
      </c>
      <c r="AD118" s="24">
        <f t="shared" si="345"/>
        <v>0</v>
      </c>
      <c r="AE118" s="24">
        <f t="shared" si="345"/>
        <v>0</v>
      </c>
      <c r="AF118" s="24"/>
      <c r="AG118" s="24"/>
      <c r="AH118" s="28"/>
      <c r="AI118" s="28"/>
      <c r="AJ118" s="24"/>
      <c r="AK118" s="24"/>
      <c r="AL118" s="24"/>
      <c r="AM118" s="24"/>
      <c r="AN118" s="24"/>
      <c r="AO118" s="24"/>
      <c r="AP118" s="28"/>
      <c r="AQ118" s="28"/>
      <c r="AR118" s="24"/>
      <c r="AS118" s="24"/>
      <c r="AT118" s="24"/>
      <c r="AU118" s="24"/>
      <c r="AV118" s="189"/>
    </row>
    <row r="119" spans="1:48" x14ac:dyDescent="0.4">
      <c r="A119" s="24" t="s">
        <v>517</v>
      </c>
      <c r="B119" s="10"/>
      <c r="C119" s="29" t="s">
        <v>66</v>
      </c>
      <c r="D119" s="10" t="s">
        <v>104</v>
      </c>
      <c r="E119" s="25" t="s">
        <v>177</v>
      </c>
      <c r="F119" s="10" t="s">
        <v>0</v>
      </c>
      <c r="G119" s="10" t="s">
        <v>0</v>
      </c>
      <c r="H119" s="10" t="s">
        <v>0</v>
      </c>
      <c r="I119" s="10" t="s">
        <v>0</v>
      </c>
      <c r="J119" s="10" t="s">
        <v>0</v>
      </c>
      <c r="K119" s="27" t="e">
        <f>IF(#REF!="","",#REF!)</f>
        <v>#REF!</v>
      </c>
      <c r="L119" s="28">
        <f>IFERROR(VLOOKUP(K119,選択肢リスト!$F$3:$G$7,2,FALSE),M119)</f>
        <v>0</v>
      </c>
      <c r="M119" s="24">
        <v>0</v>
      </c>
      <c r="N119" s="24"/>
      <c r="O119" s="24">
        <v>1</v>
      </c>
      <c r="P119" s="24"/>
      <c r="Q119" s="24"/>
      <c r="R119" s="149" t="str">
        <f t="shared" si="313"/>
        <v/>
      </c>
      <c r="S119" s="24"/>
      <c r="T119" s="24"/>
      <c r="U119" s="24"/>
      <c r="V119" s="24"/>
      <c r="W119" s="24"/>
      <c r="X119" s="24">
        <f t="shared" si="344"/>
        <v>0</v>
      </c>
      <c r="Y119" s="24">
        <f t="shared" si="344"/>
        <v>0</v>
      </c>
      <c r="Z119" s="28">
        <f t="shared" si="344"/>
        <v>0</v>
      </c>
      <c r="AA119" s="28">
        <f t="shared" si="344"/>
        <v>0</v>
      </c>
      <c r="AB119" s="24">
        <f t="shared" si="345"/>
        <v>0</v>
      </c>
      <c r="AC119" s="24">
        <f t="shared" si="345"/>
        <v>0</v>
      </c>
      <c r="AD119" s="24">
        <f t="shared" si="345"/>
        <v>0</v>
      </c>
      <c r="AE119" s="24">
        <f t="shared" si="345"/>
        <v>0</v>
      </c>
      <c r="AF119" s="24"/>
      <c r="AG119" s="24"/>
      <c r="AH119" s="28"/>
      <c r="AI119" s="28"/>
      <c r="AJ119" s="24"/>
      <c r="AK119" s="24"/>
      <c r="AL119" s="24"/>
      <c r="AM119" s="24"/>
      <c r="AN119" s="24"/>
      <c r="AO119" s="24"/>
      <c r="AP119" s="28"/>
      <c r="AQ119" s="28"/>
      <c r="AR119" s="24"/>
      <c r="AS119" s="24"/>
      <c r="AT119" s="24"/>
      <c r="AU119" s="24"/>
      <c r="AV119" s="189"/>
    </row>
    <row r="120" spans="1:48" x14ac:dyDescent="0.4">
      <c r="A120" s="24" t="s">
        <v>517</v>
      </c>
      <c r="B120" s="207" t="s">
        <v>164</v>
      </c>
      <c r="C120" s="29" t="s">
        <v>66</v>
      </c>
      <c r="D120" s="10"/>
      <c r="E120" s="197" t="s">
        <v>451</v>
      </c>
      <c r="F120" s="10" t="s">
        <v>0</v>
      </c>
      <c r="G120" s="10" t="s">
        <v>0</v>
      </c>
      <c r="H120" s="10" t="s">
        <v>0</v>
      </c>
      <c r="I120" s="10" t="s">
        <v>0</v>
      </c>
      <c r="J120" s="10" t="s">
        <v>0</v>
      </c>
      <c r="K120" s="27" t="s">
        <v>89</v>
      </c>
      <c r="L120" s="28">
        <f>IFERROR(VLOOKUP(K120,選択肢リスト!$F$3:$G$7,2,FALSE),M120)</f>
        <v>-1</v>
      </c>
      <c r="M120" s="24">
        <v>0</v>
      </c>
      <c r="N120" s="24"/>
      <c r="O120" s="24"/>
      <c r="P120" s="205">
        <v>1</v>
      </c>
      <c r="Q120" s="205">
        <v>1</v>
      </c>
      <c r="R120" s="149" t="str">
        <f t="shared" si="313"/>
        <v>〇</v>
      </c>
      <c r="S120" s="24"/>
      <c r="T120" s="24"/>
      <c r="U120" s="24"/>
      <c r="V120" s="24"/>
      <c r="W120" s="24"/>
      <c r="X120" s="24">
        <f t="shared" si="344"/>
        <v>0</v>
      </c>
      <c r="Y120" s="24">
        <f t="shared" si="344"/>
        <v>0</v>
      </c>
      <c r="Z120" s="28">
        <f t="shared" si="344"/>
        <v>-1</v>
      </c>
      <c r="AA120" s="28">
        <f t="shared" si="344"/>
        <v>-1</v>
      </c>
      <c r="AB120" s="24">
        <f t="shared" si="345"/>
        <v>0</v>
      </c>
      <c r="AC120" s="24">
        <f t="shared" si="345"/>
        <v>0</v>
      </c>
      <c r="AD120" s="24">
        <f t="shared" si="345"/>
        <v>0</v>
      </c>
      <c r="AE120" s="24">
        <f t="shared" si="345"/>
        <v>0</v>
      </c>
      <c r="AF120" s="24"/>
      <c r="AG120" s="24"/>
      <c r="AH120" s="28">
        <f>IF(K120="□不要、対象外",0,IF(C120="リスク確認",2*P120,IF(C120="対策確認",1*P120,"ERROR")))</f>
        <v>1</v>
      </c>
      <c r="AI120" s="28">
        <f>IF(K120="□不要、対象外",0,IF(C120="リスク確認",2*Q120,IF(C120="対策確認",1*Q120,"ERROR")))</f>
        <v>1</v>
      </c>
      <c r="AJ120" s="24">
        <f>S120*$M120</f>
        <v>0</v>
      </c>
      <c r="AK120" s="24">
        <f>T120*$M120</f>
        <v>0</v>
      </c>
      <c r="AL120" s="24">
        <f>U120*$M120</f>
        <v>0</v>
      </c>
      <c r="AM120" s="24">
        <f>V120*$M120</f>
        <v>0</v>
      </c>
      <c r="AN120" s="24"/>
      <c r="AO120" s="24"/>
      <c r="AP120" s="28">
        <f>IF(K120="□不要、対象外",0,IF(C120="リスク確認",0*P120,IF(C120="対策確認",-1*P120,"ERROR")))</f>
        <v>-1</v>
      </c>
      <c r="AQ120" s="28">
        <f>IF(K120="□不要、対象外",0,IF(C120="リスク確認",0*Q120,IF(C120="対策確認",-1*Q120,"ERROR")))</f>
        <v>-1</v>
      </c>
      <c r="AR120" s="24"/>
      <c r="AS120" s="24"/>
      <c r="AT120" s="24"/>
      <c r="AU120" s="24"/>
    </row>
    <row r="121" spans="1:48" x14ac:dyDescent="0.4">
      <c r="A121" s="24" t="s">
        <v>517</v>
      </c>
      <c r="B121" s="10"/>
      <c r="C121" s="29" t="s">
        <v>66</v>
      </c>
      <c r="D121" s="10"/>
      <c r="E121" s="25" t="s">
        <v>178</v>
      </c>
      <c r="F121" s="10" t="s">
        <v>0</v>
      </c>
      <c r="G121" s="10" t="s">
        <v>0</v>
      </c>
      <c r="H121" s="10" t="s">
        <v>0</v>
      </c>
      <c r="I121" s="10" t="s">
        <v>0</v>
      </c>
      <c r="J121" s="10" t="s">
        <v>0</v>
      </c>
      <c r="K121" s="27" t="e">
        <f>IF(#REF!="","",#REF!)</f>
        <v>#REF!</v>
      </c>
      <c r="L121" s="28">
        <f>IFERROR(VLOOKUP(K121,選択肢リスト!$F$3:$G$7,2,FALSE),M121)</f>
        <v>0</v>
      </c>
      <c r="M121" s="24">
        <v>0</v>
      </c>
      <c r="N121" s="24">
        <v>1</v>
      </c>
      <c r="O121" s="24"/>
      <c r="P121" s="24"/>
      <c r="Q121" s="24"/>
      <c r="R121" s="149" t="str">
        <f t="shared" si="313"/>
        <v/>
      </c>
      <c r="S121" s="24"/>
      <c r="T121" s="24"/>
      <c r="U121" s="24"/>
      <c r="V121" s="24"/>
      <c r="W121" s="24"/>
      <c r="X121" s="24">
        <f t="shared" si="344"/>
        <v>0</v>
      </c>
      <c r="Y121" s="24">
        <f t="shared" si="344"/>
        <v>0</v>
      </c>
      <c r="Z121" s="28">
        <f t="shared" si="344"/>
        <v>0</v>
      </c>
      <c r="AA121" s="28">
        <f t="shared" si="344"/>
        <v>0</v>
      </c>
      <c r="AB121" s="24">
        <f t="shared" si="345"/>
        <v>0</v>
      </c>
      <c r="AC121" s="24">
        <f t="shared" si="345"/>
        <v>0</v>
      </c>
      <c r="AD121" s="24">
        <f t="shared" si="345"/>
        <v>0</v>
      </c>
      <c r="AE121" s="24">
        <f t="shared" si="345"/>
        <v>0</v>
      </c>
      <c r="AF121" s="24"/>
      <c r="AG121" s="24"/>
      <c r="AH121" s="28"/>
      <c r="AI121" s="28"/>
      <c r="AJ121" s="24"/>
      <c r="AK121" s="24"/>
      <c r="AL121" s="24"/>
      <c r="AM121" s="24"/>
      <c r="AN121" s="24"/>
      <c r="AO121" s="24"/>
      <c r="AP121" s="28"/>
      <c r="AQ121" s="28"/>
      <c r="AR121" s="24"/>
      <c r="AS121" s="24"/>
      <c r="AT121" s="24"/>
      <c r="AU121" s="24"/>
      <c r="AV121" s="189"/>
    </row>
    <row r="122" spans="1:48" x14ac:dyDescent="0.4">
      <c r="A122" s="24" t="s">
        <v>517</v>
      </c>
      <c r="B122" s="10"/>
      <c r="C122" s="29" t="s">
        <v>66</v>
      </c>
      <c r="D122" s="10"/>
      <c r="E122" s="25" t="s">
        <v>179</v>
      </c>
      <c r="F122" s="10" t="s">
        <v>0</v>
      </c>
      <c r="G122" s="10" t="s">
        <v>0</v>
      </c>
      <c r="H122" s="10" t="s">
        <v>0</v>
      </c>
      <c r="I122" s="10" t="s">
        <v>0</v>
      </c>
      <c r="J122" s="10" t="s">
        <v>0</v>
      </c>
      <c r="K122" s="27" t="e">
        <f>IF(#REF!="","",#REF!)</f>
        <v>#REF!</v>
      </c>
      <c r="L122" s="28">
        <f>IFERROR(VLOOKUP(K122,選択肢リスト!$F$3:$G$7,2,FALSE),M122)</f>
        <v>0</v>
      </c>
      <c r="M122" s="24">
        <v>0</v>
      </c>
      <c r="N122" s="24"/>
      <c r="O122" s="24">
        <v>1</v>
      </c>
      <c r="P122" s="24"/>
      <c r="Q122" s="24"/>
      <c r="R122" s="149" t="str">
        <f t="shared" si="313"/>
        <v/>
      </c>
      <c r="S122" s="24"/>
      <c r="T122" s="24"/>
      <c r="U122" s="24"/>
      <c r="V122" s="24"/>
      <c r="W122" s="24"/>
      <c r="X122" s="24">
        <f t="shared" si="344"/>
        <v>0</v>
      </c>
      <c r="Y122" s="24">
        <f t="shared" si="344"/>
        <v>0</v>
      </c>
      <c r="Z122" s="28">
        <f t="shared" si="344"/>
        <v>0</v>
      </c>
      <c r="AA122" s="28">
        <f t="shared" si="344"/>
        <v>0</v>
      </c>
      <c r="AB122" s="24">
        <f t="shared" si="345"/>
        <v>0</v>
      </c>
      <c r="AC122" s="24">
        <f t="shared" si="345"/>
        <v>0</v>
      </c>
      <c r="AD122" s="24">
        <f t="shared" si="345"/>
        <v>0</v>
      </c>
      <c r="AE122" s="24">
        <f t="shared" si="345"/>
        <v>0</v>
      </c>
      <c r="AF122" s="24"/>
      <c r="AG122" s="24"/>
      <c r="AH122" s="28"/>
      <c r="AI122" s="28"/>
      <c r="AJ122" s="24"/>
      <c r="AK122" s="24"/>
      <c r="AL122" s="24"/>
      <c r="AM122" s="24"/>
      <c r="AN122" s="24"/>
      <c r="AO122" s="24"/>
      <c r="AP122" s="28"/>
      <c r="AQ122" s="28"/>
      <c r="AR122" s="24"/>
      <c r="AS122" s="24"/>
      <c r="AT122" s="24"/>
      <c r="AU122" s="24"/>
      <c r="AV122" s="189"/>
    </row>
    <row r="123" spans="1:48" x14ac:dyDescent="0.4">
      <c r="A123" s="24" t="s">
        <v>517</v>
      </c>
      <c r="B123" s="207" t="s">
        <v>165</v>
      </c>
      <c r="C123" s="29" t="s">
        <v>66</v>
      </c>
      <c r="D123" s="10"/>
      <c r="E123" s="197" t="s">
        <v>452</v>
      </c>
      <c r="F123" s="10" t="s">
        <v>0</v>
      </c>
      <c r="G123" s="10" t="s">
        <v>0</v>
      </c>
      <c r="H123" s="10" t="s">
        <v>0</v>
      </c>
      <c r="I123" s="10" t="s">
        <v>0</v>
      </c>
      <c r="J123" s="10" t="s">
        <v>0</v>
      </c>
      <c r="K123" s="27" t="s">
        <v>92</v>
      </c>
      <c r="L123" s="28">
        <f>IFERROR(VLOOKUP(K123,選択肢リスト!$F$3:$G$7,2,FALSE),M123)</f>
        <v>0</v>
      </c>
      <c r="M123" s="24">
        <v>0</v>
      </c>
      <c r="N123" s="24"/>
      <c r="O123" s="24"/>
      <c r="P123" s="205">
        <v>1</v>
      </c>
      <c r="Q123" s="205">
        <v>1</v>
      </c>
      <c r="R123" s="149" t="str">
        <f t="shared" si="313"/>
        <v>〇</v>
      </c>
      <c r="S123" s="24"/>
      <c r="T123" s="24"/>
      <c r="U123" s="24"/>
      <c r="V123" s="24"/>
      <c r="W123" s="24"/>
      <c r="X123" s="24">
        <f t="shared" si="344"/>
        <v>0</v>
      </c>
      <c r="Y123" s="24">
        <f t="shared" si="344"/>
        <v>0</v>
      </c>
      <c r="Z123" s="28">
        <f t="shared" si="344"/>
        <v>0</v>
      </c>
      <c r="AA123" s="28">
        <f t="shared" si="344"/>
        <v>0</v>
      </c>
      <c r="AB123" s="24">
        <f t="shared" si="345"/>
        <v>0</v>
      </c>
      <c r="AC123" s="24">
        <f t="shared" si="345"/>
        <v>0</v>
      </c>
      <c r="AD123" s="24">
        <f t="shared" si="345"/>
        <v>0</v>
      </c>
      <c r="AE123" s="24">
        <f t="shared" si="345"/>
        <v>0</v>
      </c>
      <c r="AF123" s="24"/>
      <c r="AG123" s="24"/>
      <c r="AH123" s="28">
        <f>IF(K123="□不要、対象外",0,IF(C123="リスク確認",2*P123,IF(C123="対策確認",1*P123,"ERROR")))</f>
        <v>0</v>
      </c>
      <c r="AI123" s="28">
        <f>IF(K123="□不要、対象外",0,IF(C123="リスク確認",2*Q123,IF(C123="対策確認",1*Q123,"ERROR")))</f>
        <v>0</v>
      </c>
      <c r="AJ123" s="24">
        <f>S123*$M123</f>
        <v>0</v>
      </c>
      <c r="AK123" s="24">
        <f>T123*$M123</f>
        <v>0</v>
      </c>
      <c r="AL123" s="24">
        <f>U123*$M123</f>
        <v>0</v>
      </c>
      <c r="AM123" s="24">
        <f>V123*$M123</f>
        <v>0</v>
      </c>
      <c r="AN123" s="24"/>
      <c r="AO123" s="24"/>
      <c r="AP123" s="28">
        <f>IF(K123="□不要、対象外",0,IF(C123="リスク確認",0*P123,IF(C123="対策確認",-1*P123,"ERROR")))</f>
        <v>0</v>
      </c>
      <c r="AQ123" s="28">
        <f>IF(K123="□不要、対象外",0,IF(C123="リスク確認",0*Q123,IF(C123="対策確認",-1*Q123,"ERROR")))</f>
        <v>0</v>
      </c>
      <c r="AR123" s="24"/>
      <c r="AS123" s="24"/>
      <c r="AT123" s="24"/>
      <c r="AU123" s="24"/>
    </row>
    <row r="124" spans="1:48" x14ac:dyDescent="0.4">
      <c r="A124" s="24" t="s">
        <v>517</v>
      </c>
      <c r="B124" s="207" t="s">
        <v>166</v>
      </c>
      <c r="C124" s="29" t="s">
        <v>66</v>
      </c>
      <c r="D124" s="10"/>
      <c r="E124" s="197" t="s">
        <v>453</v>
      </c>
      <c r="F124" s="10" t="s">
        <v>0</v>
      </c>
      <c r="G124" s="10" t="s">
        <v>0</v>
      </c>
      <c r="H124" s="10" t="s">
        <v>0</v>
      </c>
      <c r="I124" s="10" t="s">
        <v>0</v>
      </c>
      <c r="J124" s="10" t="s">
        <v>0</v>
      </c>
      <c r="K124" s="27" t="s">
        <v>92</v>
      </c>
      <c r="L124" s="28">
        <f>IFERROR(VLOOKUP(K124,選択肢リスト!$F$3:$G$7,2,FALSE),M124)</f>
        <v>0</v>
      </c>
      <c r="M124" s="24">
        <v>0</v>
      </c>
      <c r="N124" s="24"/>
      <c r="O124" s="24"/>
      <c r="P124" s="205">
        <v>1</v>
      </c>
      <c r="Q124" s="205">
        <v>1</v>
      </c>
      <c r="R124" s="149" t="str">
        <f t="shared" si="313"/>
        <v>〇</v>
      </c>
      <c r="S124" s="24"/>
      <c r="T124" s="24"/>
      <c r="U124" s="24"/>
      <c r="V124" s="24"/>
      <c r="W124" s="24"/>
      <c r="X124" s="24">
        <f t="shared" ref="X124" si="346">$L124*N124</f>
        <v>0</v>
      </c>
      <c r="Y124" s="24">
        <f t="shared" ref="Y124" si="347">$L124*O124</f>
        <v>0</v>
      </c>
      <c r="Z124" s="28">
        <f t="shared" ref="Z124" si="348">$L124*P124</f>
        <v>0</v>
      </c>
      <c r="AA124" s="28">
        <f t="shared" ref="AA124" si="349">$L124*Q124</f>
        <v>0</v>
      </c>
      <c r="AB124" s="24">
        <f t="shared" ref="AB124" si="350">$L124*S124</f>
        <v>0</v>
      </c>
      <c r="AC124" s="24">
        <f t="shared" ref="AC124" si="351">$L124*T124</f>
        <v>0</v>
      </c>
      <c r="AD124" s="24">
        <f t="shared" ref="AD124" si="352">$L124*U124</f>
        <v>0</v>
      </c>
      <c r="AE124" s="24">
        <f t="shared" ref="AE124" si="353">$L124*V124</f>
        <v>0</v>
      </c>
      <c r="AF124" s="24"/>
      <c r="AG124" s="24"/>
      <c r="AH124" s="28">
        <f>IF(K124="□不要、対象外",0,IF(C124="リスク確認",2*P124,IF(C124="対策確認",1*P124,"ERROR")))</f>
        <v>0</v>
      </c>
      <c r="AI124" s="28">
        <f>IF(K124="□不要、対象外",0,IF(C124="リスク確認",2*Q124,IF(C124="対策確認",1*Q124,"ERROR")))</f>
        <v>0</v>
      </c>
      <c r="AJ124" s="24">
        <f t="shared" ref="AJ124" si="354">S124*$M124</f>
        <v>0</v>
      </c>
      <c r="AK124" s="24">
        <f t="shared" ref="AK124" si="355">T124*$M124</f>
        <v>0</v>
      </c>
      <c r="AL124" s="24">
        <f t="shared" ref="AL124" si="356">U124*$M124</f>
        <v>0</v>
      </c>
      <c r="AM124" s="24">
        <f t="shared" ref="AM124" si="357">V124*$M124</f>
        <v>0</v>
      </c>
      <c r="AN124" s="24"/>
      <c r="AO124" s="24"/>
      <c r="AP124" s="28">
        <f>IF(K124="□不要、対象外",0,IF(C124="リスク確認",0*P124,IF(C124="対策確認",-1*P124,"ERROR")))</f>
        <v>0</v>
      </c>
      <c r="AQ124" s="28">
        <f>IF(K124="□不要、対象外",0,IF(C124="リスク確認",0*Q124,IF(C124="対策確認",-1*Q124,"ERROR")))</f>
        <v>0</v>
      </c>
      <c r="AR124" s="24"/>
      <c r="AS124" s="24"/>
      <c r="AT124" s="24"/>
      <c r="AU124" s="24"/>
    </row>
    <row r="125" spans="1:48" x14ac:dyDescent="0.4">
      <c r="A125" s="24" t="s">
        <v>517</v>
      </c>
      <c r="B125" s="207" t="s">
        <v>167</v>
      </c>
      <c r="C125" s="29" t="s">
        <v>66</v>
      </c>
      <c r="D125" s="10"/>
      <c r="E125" s="197" t="s">
        <v>454</v>
      </c>
      <c r="F125" s="10" t="s">
        <v>0</v>
      </c>
      <c r="G125" s="10" t="s">
        <v>0</v>
      </c>
      <c r="H125" s="10" t="s">
        <v>0</v>
      </c>
      <c r="I125" s="10" t="s">
        <v>0</v>
      </c>
      <c r="J125" s="10" t="s">
        <v>0</v>
      </c>
      <c r="K125" s="27" t="s">
        <v>89</v>
      </c>
      <c r="L125" s="28">
        <f>IFERROR(VLOOKUP(K125,選択肢リスト!$F$3:$G$7,2,FALSE),M125)</f>
        <v>-1</v>
      </c>
      <c r="M125" s="24">
        <v>0</v>
      </c>
      <c r="N125" s="24"/>
      <c r="O125" s="24"/>
      <c r="P125" s="205">
        <v>1</v>
      </c>
      <c r="Q125" s="205">
        <v>1</v>
      </c>
      <c r="R125" s="149" t="str">
        <f t="shared" si="313"/>
        <v>〇</v>
      </c>
      <c r="S125" s="24"/>
      <c r="T125" s="24"/>
      <c r="U125" s="24"/>
      <c r="V125" s="24"/>
      <c r="W125" s="24"/>
      <c r="X125" s="24">
        <f t="shared" ref="X125" si="358">$L125*N125</f>
        <v>0</v>
      </c>
      <c r="Y125" s="24">
        <f t="shared" ref="Y125" si="359">$L125*O125</f>
        <v>0</v>
      </c>
      <c r="Z125" s="28">
        <f t="shared" ref="Z125" si="360">$L125*P125</f>
        <v>-1</v>
      </c>
      <c r="AA125" s="28">
        <f t="shared" ref="AA125" si="361">$L125*Q125</f>
        <v>-1</v>
      </c>
      <c r="AB125" s="24">
        <f t="shared" ref="AB125" si="362">$L125*S125</f>
        <v>0</v>
      </c>
      <c r="AC125" s="24">
        <f t="shared" ref="AC125" si="363">$L125*T125</f>
        <v>0</v>
      </c>
      <c r="AD125" s="24">
        <f t="shared" ref="AD125" si="364">$L125*U125</f>
        <v>0</v>
      </c>
      <c r="AE125" s="24">
        <f t="shared" ref="AE125" si="365">$L125*V125</f>
        <v>0</v>
      </c>
      <c r="AF125" s="24"/>
      <c r="AG125" s="24"/>
      <c r="AH125" s="28">
        <f>IF(K125="□不要、対象外",0,IF(C125="リスク確認",2*P125,IF(C125="対策確認",1*P125,"ERROR")))</f>
        <v>1</v>
      </c>
      <c r="AI125" s="28">
        <f>IF(K125="□不要、対象外",0,IF(C125="リスク確認",2*Q125,IF(C125="対策確認",1*Q125,"ERROR")))</f>
        <v>1</v>
      </c>
      <c r="AJ125" s="24">
        <f t="shared" ref="AJ125" si="366">S125*$M125</f>
        <v>0</v>
      </c>
      <c r="AK125" s="24">
        <f t="shared" ref="AK125" si="367">T125*$M125</f>
        <v>0</v>
      </c>
      <c r="AL125" s="24">
        <f t="shared" ref="AL125" si="368">U125*$M125</f>
        <v>0</v>
      </c>
      <c r="AM125" s="24">
        <f t="shared" ref="AM125" si="369">V125*$M125</f>
        <v>0</v>
      </c>
      <c r="AN125" s="24"/>
      <c r="AO125" s="24"/>
      <c r="AP125" s="28">
        <f>IF(K125="□不要、対象外",0,IF(C125="リスク確認",0*P125,IF(C125="対策確認",-1*P125,"ERROR")))</f>
        <v>-1</v>
      </c>
      <c r="AQ125" s="28">
        <f>IF(K125="□不要、対象外",0,IF(C125="リスク確認",0*Q125,IF(C125="対策確認",-1*Q125,"ERROR")))</f>
        <v>-1</v>
      </c>
      <c r="AR125" s="24"/>
      <c r="AS125" s="24"/>
      <c r="AT125" s="24"/>
      <c r="AU125" s="24"/>
    </row>
    <row r="126" spans="1:48" x14ac:dyDescent="0.4">
      <c r="A126" s="24" t="s">
        <v>517</v>
      </c>
      <c r="B126" s="207" t="s">
        <v>168</v>
      </c>
      <c r="C126" s="29" t="s">
        <v>66</v>
      </c>
      <c r="D126" s="10"/>
      <c r="E126" s="197" t="s">
        <v>187</v>
      </c>
      <c r="F126" s="10" t="s">
        <v>0</v>
      </c>
      <c r="G126" s="10" t="s">
        <v>0</v>
      </c>
      <c r="H126" s="10" t="s">
        <v>0</v>
      </c>
      <c r="I126" s="10" t="s">
        <v>0</v>
      </c>
      <c r="J126" s="10" t="s">
        <v>0</v>
      </c>
      <c r="K126" s="27" t="s">
        <v>89</v>
      </c>
      <c r="L126" s="28">
        <f>IFERROR(VLOOKUP(K126,選択肢リスト!$F$3:$G$7,2,FALSE),M126)</f>
        <v>-1</v>
      </c>
      <c r="M126" s="24">
        <v>0</v>
      </c>
      <c r="N126" s="24">
        <v>1</v>
      </c>
      <c r="O126" s="24">
        <v>1</v>
      </c>
      <c r="P126" s="204"/>
      <c r="Q126" s="205">
        <v>1</v>
      </c>
      <c r="R126" s="149" t="str">
        <f t="shared" si="313"/>
        <v>〇</v>
      </c>
      <c r="S126" s="24"/>
      <c r="T126" s="24"/>
      <c r="U126" s="24"/>
      <c r="V126" s="24"/>
      <c r="W126" s="24"/>
      <c r="X126" s="24">
        <f t="shared" ref="X126" si="370">$L126*N126</f>
        <v>-1</v>
      </c>
      <c r="Y126" s="24">
        <f t="shared" ref="Y126" si="371">$L126*O126</f>
        <v>-1</v>
      </c>
      <c r="Z126" s="28">
        <f t="shared" ref="Z126" si="372">$L126*P126</f>
        <v>0</v>
      </c>
      <c r="AA126" s="28">
        <f t="shared" ref="AA126" si="373">$L126*Q126</f>
        <v>-1</v>
      </c>
      <c r="AB126" s="24">
        <f t="shared" ref="AB126" si="374">$L126*S126</f>
        <v>0</v>
      </c>
      <c r="AC126" s="24">
        <f t="shared" ref="AC126" si="375">$L126*T126</f>
        <v>0</v>
      </c>
      <c r="AD126" s="24">
        <f t="shared" ref="AD126" si="376">$L126*U126</f>
        <v>0</v>
      </c>
      <c r="AE126" s="24">
        <f t="shared" ref="AE126" si="377">$L126*V126</f>
        <v>0</v>
      </c>
      <c r="AF126" s="24"/>
      <c r="AG126" s="24"/>
      <c r="AH126" s="28">
        <f>IF(K126="□不要、対象外",0,IF(C126="リスク確認",2*P126,IF(C126="対策確認",1*P126,"ERROR")))</f>
        <v>0</v>
      </c>
      <c r="AI126" s="28">
        <f>IF(K126="□不要、対象外",0,IF(C126="リスク確認",2*Q126,IF(C126="対策確認",1*Q126,"ERROR")))</f>
        <v>1</v>
      </c>
      <c r="AJ126" s="24">
        <f t="shared" ref="AJ126" si="378">S126*$M126</f>
        <v>0</v>
      </c>
      <c r="AK126" s="24">
        <f t="shared" ref="AK126" si="379">T126*$M126</f>
        <v>0</v>
      </c>
      <c r="AL126" s="24">
        <f t="shared" ref="AL126" si="380">U126*$M126</f>
        <v>0</v>
      </c>
      <c r="AM126" s="24">
        <f t="shared" ref="AM126" si="381">V126*$M126</f>
        <v>0</v>
      </c>
      <c r="AN126" s="24"/>
      <c r="AO126" s="24"/>
      <c r="AP126" s="28">
        <f>IF(K126="□不要、対象外",0,IF(C126="リスク確認",0*P126,IF(C126="対策確認",-1*P126,"ERROR")))</f>
        <v>0</v>
      </c>
      <c r="AQ126" s="28">
        <f>IF(K126="□不要、対象外",0,IF(C126="リスク確認",0*Q126,IF(C126="対策確認",-1*Q126,"ERROR")))</f>
        <v>-1</v>
      </c>
      <c r="AR126" s="24"/>
      <c r="AS126" s="24"/>
      <c r="AT126" s="24"/>
      <c r="AU126" s="24"/>
    </row>
    <row r="127" spans="1:48" ht="37.5" x14ac:dyDescent="0.4">
      <c r="A127" s="24" t="s">
        <v>517</v>
      </c>
      <c r="B127" s="10"/>
      <c r="C127" s="29" t="s">
        <v>66</v>
      </c>
      <c r="D127" s="10"/>
      <c r="E127" s="25" t="s">
        <v>188</v>
      </c>
      <c r="F127" s="10" t="s">
        <v>0</v>
      </c>
      <c r="G127" s="10" t="s">
        <v>0</v>
      </c>
      <c r="H127" s="10" t="s">
        <v>0</v>
      </c>
      <c r="I127" s="10" t="s">
        <v>0</v>
      </c>
      <c r="J127" s="10" t="s">
        <v>0</v>
      </c>
      <c r="K127" s="27" t="e">
        <f>IF(#REF!="","",#REF!)</f>
        <v>#REF!</v>
      </c>
      <c r="L127" s="28">
        <f>IFERROR(VLOOKUP(K127,選択肢リスト!$F$3:$G$7,2,FALSE),M127)</f>
        <v>0</v>
      </c>
      <c r="M127" s="24">
        <v>0</v>
      </c>
      <c r="N127" s="24">
        <v>1</v>
      </c>
      <c r="O127" s="24"/>
      <c r="P127" s="24"/>
      <c r="Q127" s="24"/>
      <c r="R127" s="149" t="str">
        <f t="shared" si="313"/>
        <v/>
      </c>
      <c r="S127" s="24"/>
      <c r="T127" s="24"/>
      <c r="U127" s="24"/>
      <c r="V127" s="24"/>
      <c r="W127" s="24"/>
      <c r="X127" s="24">
        <f t="shared" ref="X127" si="382">$L127*N127</f>
        <v>0</v>
      </c>
      <c r="Y127" s="24">
        <f t="shared" ref="Y127" si="383">$L127*O127</f>
        <v>0</v>
      </c>
      <c r="Z127" s="28">
        <f t="shared" ref="Z127" si="384">$L127*P127</f>
        <v>0</v>
      </c>
      <c r="AA127" s="28">
        <f t="shared" ref="AA127" si="385">$L127*Q127</f>
        <v>0</v>
      </c>
      <c r="AB127" s="24">
        <f t="shared" ref="AB127" si="386">$L127*S127</f>
        <v>0</v>
      </c>
      <c r="AC127" s="24">
        <f t="shared" ref="AC127" si="387">$L127*T127</f>
        <v>0</v>
      </c>
      <c r="AD127" s="24">
        <f t="shared" ref="AD127" si="388">$L127*U127</f>
        <v>0</v>
      </c>
      <c r="AE127" s="24">
        <f t="shared" ref="AE127" si="389">$L127*V127</f>
        <v>0</v>
      </c>
      <c r="AF127" s="24"/>
      <c r="AG127" s="24"/>
      <c r="AH127" s="28"/>
      <c r="AI127" s="28"/>
      <c r="AJ127" s="24"/>
      <c r="AK127" s="24"/>
      <c r="AL127" s="24"/>
      <c r="AM127" s="24"/>
      <c r="AN127" s="24"/>
      <c r="AO127" s="24"/>
      <c r="AP127" s="28"/>
      <c r="AQ127" s="28"/>
      <c r="AR127" s="24"/>
      <c r="AS127" s="24"/>
      <c r="AT127" s="24"/>
      <c r="AU127" s="24"/>
      <c r="AV127" s="189"/>
    </row>
    <row r="128" spans="1:48" ht="37.5" x14ac:dyDescent="0.4">
      <c r="A128" s="24" t="s">
        <v>517</v>
      </c>
      <c r="B128" s="207" t="s">
        <v>169</v>
      </c>
      <c r="C128" s="29" t="s">
        <v>66</v>
      </c>
      <c r="D128" s="10"/>
      <c r="E128" s="197" t="s">
        <v>474</v>
      </c>
      <c r="F128" s="10" t="s">
        <v>0</v>
      </c>
      <c r="G128" s="10" t="s">
        <v>0</v>
      </c>
      <c r="H128" s="10" t="s">
        <v>0</v>
      </c>
      <c r="I128" s="10" t="s">
        <v>0</v>
      </c>
      <c r="J128" s="10" t="s">
        <v>0</v>
      </c>
      <c r="K128" s="27" t="s">
        <v>89</v>
      </c>
      <c r="L128" s="28">
        <f>IFERROR(VLOOKUP(K128,選択肢リスト!$F$3:$G$7,2,FALSE),M128)</f>
        <v>-1</v>
      </c>
      <c r="M128" s="24">
        <v>0</v>
      </c>
      <c r="N128" s="24"/>
      <c r="O128" s="24">
        <v>1</v>
      </c>
      <c r="P128" s="204"/>
      <c r="Q128" s="205">
        <v>1</v>
      </c>
      <c r="R128" s="149" t="str">
        <f t="shared" si="313"/>
        <v>〇</v>
      </c>
      <c r="S128" s="24"/>
      <c r="T128" s="24"/>
      <c r="U128" s="24"/>
      <c r="V128" s="24"/>
      <c r="W128" s="24"/>
      <c r="X128" s="24">
        <f t="shared" ref="X128" si="390">$L128*N128</f>
        <v>0</v>
      </c>
      <c r="Y128" s="24">
        <f t="shared" ref="Y128" si="391">$L128*O128</f>
        <v>-1</v>
      </c>
      <c r="Z128" s="28">
        <f t="shared" ref="Z128" si="392">$L128*P128</f>
        <v>0</v>
      </c>
      <c r="AA128" s="28">
        <f t="shared" ref="AA128" si="393">$L128*Q128</f>
        <v>-1</v>
      </c>
      <c r="AB128" s="24">
        <f t="shared" ref="AB128" si="394">$L128*S128</f>
        <v>0</v>
      </c>
      <c r="AC128" s="24">
        <f t="shared" ref="AC128" si="395">$L128*T128</f>
        <v>0</v>
      </c>
      <c r="AD128" s="24">
        <f t="shared" ref="AD128" si="396">$L128*U128</f>
        <v>0</v>
      </c>
      <c r="AE128" s="24">
        <f t="shared" ref="AE128" si="397">$L128*V128</f>
        <v>0</v>
      </c>
      <c r="AF128" s="24"/>
      <c r="AG128" s="24"/>
      <c r="AH128" s="28">
        <f>IF(K128="□不要、対象外",0,IF(C128="リスク確認",2*P128,IF(C128="対策確認",1*P128,"ERROR")))</f>
        <v>0</v>
      </c>
      <c r="AI128" s="28">
        <f>IF(K128="□不要、対象外",0,IF(C128="リスク確認",2*Q128,IF(C128="対策確認",1*Q128,"ERROR")))</f>
        <v>1</v>
      </c>
      <c r="AJ128" s="24">
        <f t="shared" ref="AJ128" si="398">S128*$M128</f>
        <v>0</v>
      </c>
      <c r="AK128" s="24">
        <f t="shared" ref="AK128" si="399">T128*$M128</f>
        <v>0</v>
      </c>
      <c r="AL128" s="24">
        <f t="shared" ref="AL128" si="400">U128*$M128</f>
        <v>0</v>
      </c>
      <c r="AM128" s="24">
        <f t="shared" ref="AM128" si="401">V128*$M128</f>
        <v>0</v>
      </c>
      <c r="AN128" s="24"/>
      <c r="AO128" s="24"/>
      <c r="AP128" s="28">
        <f>IF(K128="□不要、対象外",0,IF(C128="リスク確認",0*P128,IF(C128="対策確認",-1*P128,"ERROR")))</f>
        <v>0</v>
      </c>
      <c r="AQ128" s="28">
        <f>IF(K128="□不要、対象外",0,IF(C128="リスク確認",0*Q128,IF(C128="対策確認",-1*Q128,"ERROR")))</f>
        <v>-1</v>
      </c>
      <c r="AR128" s="24"/>
      <c r="AS128" s="24"/>
      <c r="AT128" s="24"/>
      <c r="AU128" s="24"/>
      <c r="AV128" s="186" t="s">
        <v>607</v>
      </c>
    </row>
  </sheetData>
  <autoFilter ref="A2:AM128" xr:uid="{00000000-0001-0000-0600-000000000000}"/>
  <mergeCells count="9">
    <mergeCell ref="AH86:AI86"/>
    <mergeCell ref="AP86:AQ86"/>
    <mergeCell ref="AH88:AI88"/>
    <mergeCell ref="AP88:AQ88"/>
    <mergeCell ref="K2:K3"/>
    <mergeCell ref="AH52:AI52"/>
    <mergeCell ref="AP52:AQ52"/>
    <mergeCell ref="AH84:AI84"/>
    <mergeCell ref="AP84:AQ84"/>
  </mergeCells>
  <phoneticPr fontId="3"/>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選択肢リスト!$B$3:$B$6</xm:f>
          </x14:formula1>
          <xm:sqref>K5:K16 K39:K42 K29:K35 K96:K98 K102:K103 K107:K108 K110 K129:K130 K121:K122 K127 K44:K54 K18:K26 K57:K60 K113:K115 K117:K119 K62 K66:K93</xm:sqref>
        </x14:dataValidation>
        <x14:dataValidation type="list" allowBlank="1" showInputMessage="1" showErrorMessage="1" xr:uid="{F5E44887-E9EC-4E5C-9F96-A0C8D2374C37}">
          <x14:formula1>
            <xm:f>選択肢リスト!$F$3:$F$7</xm:f>
          </x14:formula1>
          <xm:sqref>K111:K112 K109 K27:K28 K43 K128 K99:K101 K63:K65 K120 K94:K95 K104:K106 K17 K36:K38 K55:K56 K116 K61 K123:K126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G7"/>
  <sheetViews>
    <sheetView workbookViewId="0">
      <selection activeCell="K3" sqref="K3"/>
    </sheetView>
  </sheetViews>
  <sheetFormatPr defaultRowHeight="18.75" x14ac:dyDescent="0.4"/>
  <cols>
    <col min="2" max="2" width="19.25" bestFit="1" customWidth="1"/>
    <col min="6" max="6" width="15.125" bestFit="1" customWidth="1"/>
  </cols>
  <sheetData>
    <row r="1" spans="2:7" x14ac:dyDescent="0.4">
      <c r="B1" t="s">
        <v>94</v>
      </c>
      <c r="F1" t="s">
        <v>95</v>
      </c>
    </row>
    <row r="2" spans="2:7" x14ac:dyDescent="0.4">
      <c r="B2" t="s">
        <v>93</v>
      </c>
      <c r="C2" t="s">
        <v>52</v>
      </c>
      <c r="F2" t="s">
        <v>93</v>
      </c>
      <c r="G2" t="s">
        <v>52</v>
      </c>
    </row>
    <row r="3" spans="2:7" x14ac:dyDescent="0.4">
      <c r="B3" t="s">
        <v>70</v>
      </c>
      <c r="C3">
        <v>2</v>
      </c>
      <c r="F3" t="s">
        <v>89</v>
      </c>
      <c r="G3">
        <v>-1</v>
      </c>
    </row>
    <row r="4" spans="2:7" x14ac:dyDescent="0.4">
      <c r="B4" t="s">
        <v>71</v>
      </c>
      <c r="C4">
        <v>1</v>
      </c>
      <c r="F4" t="s">
        <v>90</v>
      </c>
      <c r="G4">
        <v>0</v>
      </c>
    </row>
    <row r="5" spans="2:7" x14ac:dyDescent="0.4">
      <c r="B5" t="s">
        <v>72</v>
      </c>
      <c r="C5">
        <v>0</v>
      </c>
      <c r="F5" t="s">
        <v>91</v>
      </c>
      <c r="G5">
        <v>1</v>
      </c>
    </row>
    <row r="6" spans="2:7" x14ac:dyDescent="0.4">
      <c r="B6" t="s">
        <v>73</v>
      </c>
      <c r="C6">
        <v>0</v>
      </c>
      <c r="F6" t="s">
        <v>92</v>
      </c>
      <c r="G6">
        <v>0</v>
      </c>
    </row>
    <row r="7" spans="2:7" x14ac:dyDescent="0.4">
      <c r="F7" t="s">
        <v>73</v>
      </c>
      <c r="G7">
        <v>1</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N28"/>
  <sheetViews>
    <sheetView zoomScale="71" zoomScaleNormal="71" workbookViewId="0"/>
  </sheetViews>
  <sheetFormatPr defaultRowHeight="13.5" x14ac:dyDescent="0.4"/>
  <cols>
    <col min="1" max="1" width="9" style="14"/>
    <col min="2" max="2" width="33.375" style="14" customWidth="1"/>
    <col min="3" max="12" width="7.5" style="14" customWidth="1"/>
    <col min="13" max="13" width="9" style="14"/>
    <col min="14" max="14" width="9" style="40"/>
    <col min="15" max="16384" width="9" style="14"/>
  </cols>
  <sheetData>
    <row r="1" spans="1:14" ht="24" x14ac:dyDescent="0.4">
      <c r="A1" s="45" t="s">
        <v>199</v>
      </c>
    </row>
    <row r="3" spans="1:14" ht="14.25" thickBot="1" x14ac:dyDescent="0.45">
      <c r="A3" s="14" t="s">
        <v>32</v>
      </c>
      <c r="C3" s="14" t="s">
        <v>17</v>
      </c>
      <c r="H3" s="14" t="s">
        <v>33</v>
      </c>
    </row>
    <row r="4" spans="1:14" ht="35.25" customHeight="1" x14ac:dyDescent="0.4">
      <c r="B4" s="15" t="s">
        <v>117</v>
      </c>
      <c r="C4" s="229" t="s">
        <v>3</v>
      </c>
      <c r="D4" s="230"/>
      <c r="E4" s="230"/>
      <c r="F4" s="230"/>
      <c r="G4" s="231"/>
      <c r="H4" s="232" t="s">
        <v>5</v>
      </c>
      <c r="I4" s="233"/>
      <c r="J4" s="233"/>
      <c r="K4" s="233"/>
      <c r="L4" s="234"/>
    </row>
    <row r="5" spans="1:14" ht="35.25" customHeight="1" thickBot="1" x14ac:dyDescent="0.45">
      <c r="B5" s="16" t="s">
        <v>118</v>
      </c>
      <c r="C5" s="235" t="s">
        <v>4</v>
      </c>
      <c r="D5" s="236"/>
      <c r="E5" s="236"/>
      <c r="F5" s="236"/>
      <c r="G5" s="237"/>
      <c r="H5" s="238" t="s">
        <v>6</v>
      </c>
      <c r="I5" s="239"/>
      <c r="J5" s="239"/>
      <c r="K5" s="239"/>
      <c r="L5" s="240"/>
      <c r="N5" s="40" t="s">
        <v>119</v>
      </c>
    </row>
    <row r="6" spans="1:14" ht="35.25" customHeight="1" thickBot="1" x14ac:dyDescent="0.45">
      <c r="B6" s="17" t="s">
        <v>7</v>
      </c>
      <c r="C6" s="54">
        <v>1</v>
      </c>
      <c r="D6" s="54">
        <v>2</v>
      </c>
      <c r="E6" s="54">
        <v>3</v>
      </c>
      <c r="F6" s="54">
        <v>4</v>
      </c>
      <c r="G6" s="54">
        <v>5</v>
      </c>
      <c r="H6" s="19" t="str">
        <f>IF('③-1_フラジリティ評価・スコア集計用'!E4&gt;0,"★","")</f>
        <v>★</v>
      </c>
      <c r="I6" s="19" t="str">
        <f>IFERROR(IF('③-1_フラジリティ評価・スコア集計用'!$E4&gt;1,"★","☆"),"")</f>
        <v>★</v>
      </c>
      <c r="J6" s="19" t="str">
        <f>IFERROR(IF('③-1_フラジリティ評価・スコア集計用'!$E4&gt;2,"★","☆"),"")</f>
        <v>★</v>
      </c>
      <c r="K6" s="19" t="str">
        <f>IFERROR(IF('③-1_フラジリティ評価・スコア集計用'!$E4&gt;3,"★","☆"),"")</f>
        <v>☆</v>
      </c>
      <c r="L6" s="19" t="str">
        <f>IFERROR(IF('③-1_フラジリティ評価・スコア集計用'!$E4&gt;4,"★","☆"),"")</f>
        <v>☆</v>
      </c>
      <c r="N6" s="40" t="str">
        <f>IF('③-1_フラジリティ評価・スコア集計用'!C4="〇",'③-1_フラジリティ評価・スコア集計用'!C4,"")</f>
        <v/>
      </c>
    </row>
    <row r="7" spans="1:14" ht="35.25" customHeight="1" thickBot="1" x14ac:dyDescent="0.45">
      <c r="B7" s="17" t="s">
        <v>8</v>
      </c>
      <c r="C7" s="54">
        <v>1</v>
      </c>
      <c r="D7" s="54">
        <v>2</v>
      </c>
      <c r="E7" s="54">
        <v>3</v>
      </c>
      <c r="F7" s="54">
        <v>4</v>
      </c>
      <c r="G7" s="54">
        <v>5</v>
      </c>
      <c r="H7" s="19" t="str">
        <f>IF('③-1_フラジリティ評価・スコア集計用'!E5&gt;0,"★","")</f>
        <v>★</v>
      </c>
      <c r="I7" s="19" t="str">
        <f>IFERROR(IF('③-1_フラジリティ評価・スコア集計用'!$E5&gt;1,"★","☆"),"")</f>
        <v>★</v>
      </c>
      <c r="J7" s="19" t="str">
        <f>IFERROR(IF('③-1_フラジリティ評価・スコア集計用'!$E5&gt;2,"★","☆"),"")</f>
        <v>☆</v>
      </c>
      <c r="K7" s="19" t="str">
        <f>IFERROR(IF('③-1_フラジリティ評価・スコア集計用'!$E5&gt;3,"★","☆"),"")</f>
        <v>☆</v>
      </c>
      <c r="L7" s="19" t="str">
        <f>IFERROR(IF('③-1_フラジリティ評価・スコア集計用'!$E5&gt;4,"★","☆"),"")</f>
        <v>☆</v>
      </c>
      <c r="N7" s="40" t="str">
        <f>IF('③-1_フラジリティ評価・スコア集計用'!C5="〇",'③-1_フラジリティ評価・スコア集計用'!C5,"")</f>
        <v/>
      </c>
    </row>
    <row r="8" spans="1:14" ht="35.25" customHeight="1" thickBot="1" x14ac:dyDescent="0.45">
      <c r="B8" s="17" t="s">
        <v>1</v>
      </c>
      <c r="C8" s="54">
        <v>1</v>
      </c>
      <c r="D8" s="54">
        <v>2</v>
      </c>
      <c r="E8" s="54">
        <v>3</v>
      </c>
      <c r="F8" s="54">
        <v>4</v>
      </c>
      <c r="G8" s="54">
        <v>5</v>
      </c>
      <c r="H8" s="19" t="str">
        <f>IF('③-1_フラジリティ評価・スコア集計用'!E6&gt;0,"★","")</f>
        <v>★</v>
      </c>
      <c r="I8" s="19" t="str">
        <f>IFERROR(IF('③-1_フラジリティ評価・スコア集計用'!$E6&gt;1,"★","☆"),"")</f>
        <v>★</v>
      </c>
      <c r="J8" s="19" t="str">
        <f>IFERROR(IF('③-1_フラジリティ評価・スコア集計用'!$E6&gt;2,"★","☆"),"")</f>
        <v>★</v>
      </c>
      <c r="K8" s="19" t="str">
        <f>IFERROR(IF('③-1_フラジリティ評価・スコア集計用'!$E6&gt;3,"★","☆"),"")</f>
        <v>☆</v>
      </c>
      <c r="L8" s="19" t="str">
        <f>IFERROR(IF('③-1_フラジリティ評価・スコア集計用'!$E6&gt;4,"★","☆"),"")</f>
        <v>☆</v>
      </c>
      <c r="N8" s="40" t="str">
        <f>IF('③-1_フラジリティ評価・スコア集計用'!C6="〇",'③-1_フラジリティ評価・スコア集計用'!C6,"")</f>
        <v>〇</v>
      </c>
    </row>
    <row r="9" spans="1:14" ht="35.25" customHeight="1" thickBot="1" x14ac:dyDescent="0.45">
      <c r="B9" s="17" t="s">
        <v>12</v>
      </c>
      <c r="C9" s="54">
        <v>1</v>
      </c>
      <c r="D9" s="54">
        <v>2</v>
      </c>
      <c r="E9" s="54">
        <v>3</v>
      </c>
      <c r="F9" s="54">
        <v>4</v>
      </c>
      <c r="G9" s="54">
        <v>5</v>
      </c>
      <c r="H9" s="19" t="str">
        <f>IF('③-1_フラジリティ評価・スコア集計用'!E7&gt;0,"★","")</f>
        <v>★</v>
      </c>
      <c r="I9" s="19" t="str">
        <f>IFERROR(IF('③-1_フラジリティ評価・スコア集計用'!$E7&gt;1,"★","☆"),"")</f>
        <v>★</v>
      </c>
      <c r="J9" s="19" t="str">
        <f>IFERROR(IF('③-1_フラジリティ評価・スコア集計用'!$E7&gt;2,"★","☆"),"")</f>
        <v>★</v>
      </c>
      <c r="K9" s="19" t="str">
        <f>IFERROR(IF('③-1_フラジリティ評価・スコア集計用'!$E7&gt;3,"★","☆"),"")</f>
        <v>☆</v>
      </c>
      <c r="L9" s="19" t="str">
        <f>IFERROR(IF('③-1_フラジリティ評価・スコア集計用'!$E7&gt;4,"★","☆"),"")</f>
        <v>☆</v>
      </c>
      <c r="N9" s="40" t="str">
        <f>IF('③-1_フラジリティ評価・スコア集計用'!C7="〇",'③-1_フラジリティ評価・スコア集計用'!C7,"")</f>
        <v>〇</v>
      </c>
    </row>
    <row r="10" spans="1:14" ht="35.25" customHeight="1" thickBot="1" x14ac:dyDescent="0.45">
      <c r="A10" s="14" t="s">
        <v>116</v>
      </c>
      <c r="B10" s="17" t="s">
        <v>13</v>
      </c>
      <c r="C10" s="54">
        <v>1</v>
      </c>
      <c r="D10" s="54">
        <v>2</v>
      </c>
      <c r="E10" s="54">
        <v>3</v>
      </c>
      <c r="F10" s="54">
        <v>4</v>
      </c>
      <c r="G10" s="54">
        <v>5</v>
      </c>
      <c r="H10" s="19" t="str">
        <f>IF('③-1_フラジリティ評価・スコア集計用'!E8&gt;0,"★","")</f>
        <v>★</v>
      </c>
      <c r="I10" s="19" t="str">
        <f>IFERROR(IF('③-1_フラジリティ評価・スコア集計用'!$E8&gt;1,"★","☆"),"")</f>
        <v>★</v>
      </c>
      <c r="J10" s="19" t="str">
        <f>IFERROR(IF('③-1_フラジリティ評価・スコア集計用'!$E8&gt;2,"★","☆"),"")</f>
        <v>★</v>
      </c>
      <c r="K10" s="19" t="str">
        <f>IFERROR(IF('③-1_フラジリティ評価・スコア集計用'!$E8&gt;3,"★","☆"),"")</f>
        <v>☆</v>
      </c>
      <c r="L10" s="19" t="str">
        <f>IFERROR(IF('③-1_フラジリティ評価・スコア集計用'!$E8&gt;4,"★","☆"),"")</f>
        <v>☆</v>
      </c>
      <c r="N10" s="40" t="str">
        <f>IF('③-1_フラジリティ評価・スコア集計用'!C8="〇",'③-1_フラジリティ評価・スコア集計用'!C8,"")</f>
        <v/>
      </c>
    </row>
    <row r="11" spans="1:14" ht="35.25" customHeight="1" thickBot="1" x14ac:dyDescent="0.45">
      <c r="A11" s="14" t="s">
        <v>116</v>
      </c>
      <c r="B11" s="17" t="s">
        <v>2</v>
      </c>
      <c r="C11" s="54">
        <v>1</v>
      </c>
      <c r="D11" s="54">
        <v>2</v>
      </c>
      <c r="E11" s="54">
        <v>3</v>
      </c>
      <c r="F11" s="54">
        <v>4</v>
      </c>
      <c r="G11" s="54">
        <v>5</v>
      </c>
      <c r="H11" s="19" t="str">
        <f>IF('③-1_フラジリティ評価・スコア集計用'!E9&gt;0,"★","")</f>
        <v>★</v>
      </c>
      <c r="I11" s="19" t="str">
        <f>IFERROR(IF('③-1_フラジリティ評価・スコア集計用'!$E9&gt;1,"★","☆"),"")</f>
        <v>★</v>
      </c>
      <c r="J11" s="19" t="str">
        <f>IFERROR(IF('③-1_フラジリティ評価・スコア集計用'!$E9&gt;2,"★","☆"),"")</f>
        <v>★</v>
      </c>
      <c r="K11" s="19" t="str">
        <f>IFERROR(IF('③-1_フラジリティ評価・スコア集計用'!$E9&gt;3,"★","☆"),"")</f>
        <v>☆</v>
      </c>
      <c r="L11" s="19" t="str">
        <f>IFERROR(IF('③-1_フラジリティ評価・スコア集計用'!$E9&gt;4,"★","☆"),"")</f>
        <v>☆</v>
      </c>
      <c r="N11" s="40" t="str">
        <f>IF('③-1_フラジリティ評価・スコア集計用'!C9="〇",'③-1_フラジリティ評価・スコア集計用'!C9,"")</f>
        <v/>
      </c>
    </row>
    <row r="12" spans="1:14" ht="35.25" customHeight="1" thickBot="1" x14ac:dyDescent="0.45">
      <c r="A12" s="14" t="s">
        <v>116</v>
      </c>
      <c r="B12" s="17" t="s">
        <v>14</v>
      </c>
      <c r="C12" s="54">
        <v>1</v>
      </c>
      <c r="D12" s="54">
        <v>2</v>
      </c>
      <c r="E12" s="54">
        <v>3</v>
      </c>
      <c r="F12" s="54">
        <v>4</v>
      </c>
      <c r="G12" s="54">
        <v>5</v>
      </c>
      <c r="H12" s="19" t="str">
        <f>IF('③-1_フラジリティ評価・スコア集計用'!E10&gt;0,"★","")</f>
        <v>★</v>
      </c>
      <c r="I12" s="19" t="str">
        <f>IFERROR(IF('③-1_フラジリティ評価・スコア集計用'!$E10&gt;1,"★","☆"),"")</f>
        <v>★</v>
      </c>
      <c r="J12" s="19" t="str">
        <f>IFERROR(IF('③-1_フラジリティ評価・スコア集計用'!$E10&gt;2,"★","☆"),"")</f>
        <v>★</v>
      </c>
      <c r="K12" s="19" t="str">
        <f>IFERROR(IF('③-1_フラジリティ評価・スコア集計用'!$E10&gt;3,"★","☆"),"")</f>
        <v>☆</v>
      </c>
      <c r="L12" s="19" t="str">
        <f>IFERROR(IF('③-1_フラジリティ評価・スコア集計用'!$E10&gt;4,"★","☆"),"")</f>
        <v>☆</v>
      </c>
      <c r="N12" s="40" t="str">
        <f>IF('③-1_フラジリティ評価・スコア集計用'!C10="〇",'③-1_フラジリティ評価・スコア集計用'!C10,"")</f>
        <v/>
      </c>
    </row>
    <row r="13" spans="1:14" ht="35.25" customHeight="1" thickBot="1" x14ac:dyDescent="0.45">
      <c r="A13" s="14" t="s">
        <v>116</v>
      </c>
      <c r="B13" s="17" t="s">
        <v>15</v>
      </c>
      <c r="C13" s="54">
        <v>1</v>
      </c>
      <c r="D13" s="54">
        <v>2</v>
      </c>
      <c r="E13" s="54">
        <v>3</v>
      </c>
      <c r="F13" s="54">
        <v>4</v>
      </c>
      <c r="G13" s="54">
        <v>5</v>
      </c>
      <c r="H13" s="19" t="str">
        <f>IF('③-1_フラジリティ評価・スコア集計用'!E11&gt;0,"★","")</f>
        <v>★</v>
      </c>
      <c r="I13" s="19" t="str">
        <f>IFERROR(IF('③-1_フラジリティ評価・スコア集計用'!$E11&gt;1,"★","☆"),"")</f>
        <v>★</v>
      </c>
      <c r="J13" s="19" t="str">
        <f>IFERROR(IF('③-1_フラジリティ評価・スコア集計用'!$E11&gt;2,"★","☆"),"")</f>
        <v>★</v>
      </c>
      <c r="K13" s="19" t="str">
        <f>IFERROR(IF('③-1_フラジリティ評価・スコア集計用'!$E11&gt;3,"★","☆"),"")</f>
        <v>☆</v>
      </c>
      <c r="L13" s="19" t="str">
        <f>IFERROR(IF('③-1_フラジリティ評価・スコア集計用'!$E11&gt;4,"★","☆"),"")</f>
        <v>☆</v>
      </c>
      <c r="N13" s="40" t="str">
        <f>IF('③-1_フラジリティ評価・スコア集計用'!C11="〇",'③-1_フラジリティ評価・スコア集計用'!C11,"")</f>
        <v/>
      </c>
    </row>
    <row r="17" spans="1:12" ht="14.25" thickBot="1" x14ac:dyDescent="0.45">
      <c r="A17" s="14" t="s">
        <v>195</v>
      </c>
      <c r="C17" s="14" t="s">
        <v>17</v>
      </c>
      <c r="H17" s="14" t="s">
        <v>18</v>
      </c>
    </row>
    <row r="18" spans="1:12" ht="21" x14ac:dyDescent="0.4">
      <c r="B18" s="15" t="s">
        <v>117</v>
      </c>
      <c r="C18" s="229" t="s">
        <v>3</v>
      </c>
      <c r="D18" s="230"/>
      <c r="E18" s="230"/>
      <c r="F18" s="230"/>
      <c r="G18" s="231"/>
      <c r="H18" s="232" t="s">
        <v>5</v>
      </c>
      <c r="I18" s="233"/>
      <c r="J18" s="233"/>
      <c r="K18" s="233"/>
      <c r="L18" s="234"/>
    </row>
    <row r="19" spans="1:12" ht="21.75" thickBot="1" x14ac:dyDescent="0.45">
      <c r="B19" s="16" t="s">
        <v>118</v>
      </c>
      <c r="C19" s="235" t="s">
        <v>4</v>
      </c>
      <c r="D19" s="236"/>
      <c r="E19" s="236"/>
      <c r="F19" s="236"/>
      <c r="G19" s="237"/>
      <c r="H19" s="238" t="s">
        <v>6</v>
      </c>
      <c r="I19" s="239"/>
      <c r="J19" s="239"/>
      <c r="K19" s="239"/>
      <c r="L19" s="240"/>
    </row>
    <row r="20" spans="1:12" ht="21.75" thickBot="1" x14ac:dyDescent="0.45">
      <c r="B20" s="17" t="s">
        <v>7</v>
      </c>
      <c r="C20" s="18">
        <v>1</v>
      </c>
      <c r="D20" s="18">
        <v>2</v>
      </c>
      <c r="E20" s="18">
        <v>3</v>
      </c>
      <c r="F20" s="18">
        <v>4</v>
      </c>
      <c r="G20" s="18">
        <v>5</v>
      </c>
      <c r="H20" s="21"/>
      <c r="I20" s="21"/>
      <c r="J20" s="21"/>
      <c r="K20" s="21"/>
      <c r="L20" s="21"/>
    </row>
    <row r="21" spans="1:12" ht="21.75" thickBot="1" x14ac:dyDescent="0.45">
      <c r="B21" s="17" t="s">
        <v>8</v>
      </c>
      <c r="C21" s="20">
        <v>1</v>
      </c>
      <c r="D21" s="20">
        <v>2</v>
      </c>
      <c r="E21" s="20">
        <v>3</v>
      </c>
      <c r="F21" s="20">
        <v>4</v>
      </c>
      <c r="G21" s="20">
        <v>5</v>
      </c>
      <c r="H21" s="21"/>
      <c r="I21" s="21"/>
      <c r="J21" s="21"/>
      <c r="K21" s="21"/>
      <c r="L21" s="21"/>
    </row>
    <row r="22" spans="1:12" ht="21.75" thickBot="1" x14ac:dyDescent="0.45">
      <c r="B22" s="17" t="s">
        <v>9</v>
      </c>
      <c r="C22" s="18">
        <v>1</v>
      </c>
      <c r="D22" s="18">
        <v>2</v>
      </c>
      <c r="E22" s="18">
        <v>3</v>
      </c>
      <c r="F22" s="20">
        <v>4</v>
      </c>
      <c r="G22" s="20">
        <v>5</v>
      </c>
      <c r="H22" s="21"/>
      <c r="I22" s="21"/>
      <c r="J22" s="21"/>
      <c r="K22" s="21"/>
      <c r="L22" s="21"/>
    </row>
    <row r="23" spans="1:12" ht="21.75" thickBot="1" x14ac:dyDescent="0.45">
      <c r="B23" s="17" t="s">
        <v>1</v>
      </c>
      <c r="C23" s="18">
        <v>1</v>
      </c>
      <c r="D23" s="18">
        <v>2</v>
      </c>
      <c r="E23" s="20">
        <v>3</v>
      </c>
      <c r="F23" s="20">
        <v>4</v>
      </c>
      <c r="G23" s="20">
        <v>5</v>
      </c>
      <c r="H23" s="22" t="s">
        <v>10</v>
      </c>
      <c r="I23" s="22" t="s">
        <v>10</v>
      </c>
      <c r="J23" s="22" t="s">
        <v>11</v>
      </c>
      <c r="K23" s="22" t="s">
        <v>11</v>
      </c>
      <c r="L23" s="22" t="s">
        <v>11</v>
      </c>
    </row>
    <row r="24" spans="1:12" ht="21.75" thickBot="1" x14ac:dyDescent="0.45">
      <c r="B24" s="17" t="s">
        <v>12</v>
      </c>
      <c r="C24" s="18">
        <v>1</v>
      </c>
      <c r="D24" s="18">
        <v>2</v>
      </c>
      <c r="E24" s="18">
        <v>3</v>
      </c>
      <c r="F24" s="18">
        <v>4</v>
      </c>
      <c r="G24" s="20">
        <v>5</v>
      </c>
      <c r="H24" s="22" t="s">
        <v>10</v>
      </c>
      <c r="I24" s="22" t="s">
        <v>10</v>
      </c>
      <c r="J24" s="22" t="s">
        <v>10</v>
      </c>
      <c r="K24" s="22" t="s">
        <v>10</v>
      </c>
      <c r="L24" s="22" t="s">
        <v>10</v>
      </c>
    </row>
    <row r="25" spans="1:12" ht="21.75" thickBot="1" x14ac:dyDescent="0.45">
      <c r="B25" s="17" t="s">
        <v>13</v>
      </c>
      <c r="C25" s="20">
        <v>1</v>
      </c>
      <c r="D25" s="20">
        <v>2</v>
      </c>
      <c r="E25" s="20">
        <v>3</v>
      </c>
      <c r="F25" s="20">
        <v>4</v>
      </c>
      <c r="G25" s="20">
        <v>5</v>
      </c>
      <c r="H25" s="21"/>
      <c r="I25" s="21"/>
      <c r="J25" s="21"/>
      <c r="K25" s="21"/>
      <c r="L25" s="21"/>
    </row>
    <row r="26" spans="1:12" ht="21.75" thickBot="1" x14ac:dyDescent="0.45">
      <c r="B26" s="17" t="s">
        <v>2</v>
      </c>
      <c r="C26" s="18">
        <v>1</v>
      </c>
      <c r="D26" s="20">
        <v>2</v>
      </c>
      <c r="E26" s="20">
        <v>3</v>
      </c>
      <c r="F26" s="20">
        <v>4</v>
      </c>
      <c r="G26" s="20">
        <v>5</v>
      </c>
      <c r="H26" s="21"/>
      <c r="I26" s="21"/>
      <c r="J26" s="21"/>
      <c r="K26" s="21"/>
      <c r="L26" s="21"/>
    </row>
    <row r="27" spans="1:12" ht="21.75" thickBot="1" x14ac:dyDescent="0.45">
      <c r="B27" s="17" t="s">
        <v>14</v>
      </c>
      <c r="C27" s="18">
        <v>1</v>
      </c>
      <c r="D27" s="18">
        <v>2</v>
      </c>
      <c r="E27" s="18">
        <v>3</v>
      </c>
      <c r="F27" s="18">
        <v>4</v>
      </c>
      <c r="G27" s="20">
        <v>5</v>
      </c>
      <c r="H27" s="21"/>
      <c r="I27" s="21"/>
      <c r="J27" s="21"/>
      <c r="K27" s="21"/>
      <c r="L27" s="21"/>
    </row>
    <row r="28" spans="1:12" ht="21.75" thickBot="1" x14ac:dyDescent="0.45">
      <c r="B28" s="17" t="s">
        <v>15</v>
      </c>
      <c r="C28" s="18">
        <v>1</v>
      </c>
      <c r="D28" s="18">
        <v>2</v>
      </c>
      <c r="E28" s="20">
        <v>3</v>
      </c>
      <c r="F28" s="20">
        <v>4</v>
      </c>
      <c r="G28" s="20">
        <v>5</v>
      </c>
      <c r="H28" s="21"/>
      <c r="I28" s="21"/>
      <c r="J28" s="21"/>
      <c r="K28" s="21"/>
      <c r="L28" s="21"/>
    </row>
  </sheetData>
  <mergeCells count="8">
    <mergeCell ref="C18:G18"/>
    <mergeCell ref="H18:L18"/>
    <mergeCell ref="C19:G19"/>
    <mergeCell ref="H19:L19"/>
    <mergeCell ref="C4:G4"/>
    <mergeCell ref="C5:G5"/>
    <mergeCell ref="H4:L4"/>
    <mergeCell ref="H5:L5"/>
  </mergeCells>
  <phoneticPr fontId="3"/>
  <conditionalFormatting sqref="H6:L13">
    <cfRule type="expression" dxfId="10" priority="11">
      <formula>H6="★"</formula>
    </cfRule>
  </conditionalFormatting>
  <conditionalFormatting sqref="H6:L6">
    <cfRule type="expression" dxfId="9" priority="10">
      <formula>$N6&lt;&gt;"〇"</formula>
    </cfRule>
  </conditionalFormatting>
  <conditionalFormatting sqref="H7:L13">
    <cfRule type="expression" dxfId="8" priority="9">
      <formula>$N7&lt;&gt;"〇"</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8" operator="lessThanOrEqual" id="{23970992-3BE7-4601-ACBF-A12B768C99CA}">
            <xm:f>'②-1_ハザード評価・スコア集計用'!$D$4</xm:f>
            <x14:dxf>
              <fill>
                <patternFill>
                  <bgColor rgb="FF59DEC4"/>
                </patternFill>
              </fill>
            </x14:dxf>
          </x14:cfRule>
          <xm:sqref>C6:G6</xm:sqref>
        </x14:conditionalFormatting>
        <x14:conditionalFormatting xmlns:xm="http://schemas.microsoft.com/office/excel/2006/main">
          <x14:cfRule type="cellIs" priority="7" operator="lessThanOrEqual" id="{981D172A-C4C5-4DE9-8DBF-C58C56A58F7C}">
            <xm:f>'②-1_ハザード評価・スコア集計用'!$D$5</xm:f>
            <x14:dxf>
              <fill>
                <patternFill>
                  <bgColor rgb="FF59DEC4"/>
                </patternFill>
              </fill>
            </x14:dxf>
          </x14:cfRule>
          <xm:sqref>C7:G7</xm:sqref>
        </x14:conditionalFormatting>
        <x14:conditionalFormatting xmlns:xm="http://schemas.microsoft.com/office/excel/2006/main">
          <x14:cfRule type="cellIs" priority="6" operator="lessThanOrEqual" id="{541FC66F-9D92-4D72-9FF5-EE2FF7EC8355}">
            <xm:f>'②-1_ハザード評価・スコア集計用'!$D$6</xm:f>
            <x14:dxf>
              <fill>
                <patternFill>
                  <bgColor rgb="FF59DEC4"/>
                </patternFill>
              </fill>
            </x14:dxf>
          </x14:cfRule>
          <xm:sqref>C8:G8</xm:sqref>
        </x14:conditionalFormatting>
        <x14:conditionalFormatting xmlns:xm="http://schemas.microsoft.com/office/excel/2006/main">
          <x14:cfRule type="cellIs" priority="5" operator="lessThanOrEqual" id="{1BF2C945-E72F-40D9-AC94-A3A128711685}">
            <xm:f>'②-1_ハザード評価・スコア集計用'!$D$7</xm:f>
            <x14:dxf>
              <fill>
                <patternFill>
                  <bgColor rgb="FF59DEC4"/>
                </patternFill>
              </fill>
            </x14:dxf>
          </x14:cfRule>
          <xm:sqref>C9:G9</xm:sqref>
        </x14:conditionalFormatting>
        <x14:conditionalFormatting xmlns:xm="http://schemas.microsoft.com/office/excel/2006/main">
          <x14:cfRule type="cellIs" priority="4" operator="lessThanOrEqual" id="{F8BD5AA2-7320-4DD6-80B0-F36BE86D1FAF}">
            <xm:f>'②-1_ハザード評価・スコア集計用'!$D$8</xm:f>
            <x14:dxf>
              <fill>
                <patternFill>
                  <bgColor rgb="FF59DEC4"/>
                </patternFill>
              </fill>
            </x14:dxf>
          </x14:cfRule>
          <xm:sqref>C10:G10</xm:sqref>
        </x14:conditionalFormatting>
        <x14:conditionalFormatting xmlns:xm="http://schemas.microsoft.com/office/excel/2006/main">
          <x14:cfRule type="cellIs" priority="3" operator="lessThanOrEqual" id="{7C8DCD5C-60A4-44E5-8C38-89ED55629549}">
            <xm:f>'②-1_ハザード評価・スコア集計用'!$D$9</xm:f>
            <x14:dxf>
              <fill>
                <patternFill>
                  <bgColor rgb="FF59DEC4"/>
                </patternFill>
              </fill>
            </x14:dxf>
          </x14:cfRule>
          <xm:sqref>C11:G11</xm:sqref>
        </x14:conditionalFormatting>
        <x14:conditionalFormatting xmlns:xm="http://schemas.microsoft.com/office/excel/2006/main">
          <x14:cfRule type="cellIs" priority="2" operator="lessThanOrEqual" id="{FEE99E9C-78B8-4DC4-A3B5-1DFD3E545031}">
            <xm:f>'②-1_ハザード評価・スコア集計用'!$D$10</xm:f>
            <x14:dxf>
              <fill>
                <patternFill>
                  <bgColor rgb="FF59DEC4"/>
                </patternFill>
              </fill>
            </x14:dxf>
          </x14:cfRule>
          <xm:sqref>C12:G12</xm:sqref>
        </x14:conditionalFormatting>
        <x14:conditionalFormatting xmlns:xm="http://schemas.microsoft.com/office/excel/2006/main">
          <x14:cfRule type="cellIs" priority="1" operator="lessThanOrEqual" id="{58609961-AB23-49CD-A1C2-2B90FC0EF99F}">
            <xm:f>'②-1_ハザード評価・スコア集計用'!$D$11</xm:f>
            <x14:dxf>
              <fill>
                <patternFill>
                  <bgColor rgb="FF59DEC4"/>
                </patternFill>
              </fill>
            </x14:dxf>
          </x14:cfRule>
          <xm:sqref>C13:G13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499984740745262"/>
  </sheetPr>
  <dimension ref="A1:H73"/>
  <sheetViews>
    <sheetView topLeftCell="A40" workbookViewId="0"/>
  </sheetViews>
  <sheetFormatPr defaultRowHeight="18.75" x14ac:dyDescent="0.4"/>
  <cols>
    <col min="2" max="2" width="19.125" bestFit="1" customWidth="1"/>
    <col min="3" max="7" width="11.875" customWidth="1"/>
  </cols>
  <sheetData>
    <row r="1" spans="1:8" ht="24" x14ac:dyDescent="0.4">
      <c r="A1" s="55" t="s">
        <v>387</v>
      </c>
      <c r="B1" s="55"/>
    </row>
    <row r="3" spans="1:8" x14ac:dyDescent="0.4">
      <c r="A3" t="s">
        <v>414</v>
      </c>
    </row>
    <row r="4" spans="1:8" x14ac:dyDescent="0.4">
      <c r="B4" t="s">
        <v>402</v>
      </c>
      <c r="C4" t="s">
        <v>388</v>
      </c>
    </row>
    <row r="5" spans="1:8" x14ac:dyDescent="0.4">
      <c r="C5" s="56" t="s">
        <v>389</v>
      </c>
      <c r="D5" s="56" t="s">
        <v>390</v>
      </c>
      <c r="E5" s="56" t="s">
        <v>391</v>
      </c>
      <c r="F5" s="56" t="s">
        <v>392</v>
      </c>
    </row>
    <row r="6" spans="1:8" x14ac:dyDescent="0.4">
      <c r="B6" t="s">
        <v>413</v>
      </c>
      <c r="C6" s="57">
        <f>'②-2_ハザード評価・スコア計算用'!I4</f>
        <v>0.878</v>
      </c>
      <c r="D6" s="57">
        <f>'②-2_ハザード評価・スコア計算用'!I5</f>
        <v>0.68200000000000005</v>
      </c>
      <c r="E6" s="57">
        <f>'②-2_ハザード評価・スコア計算用'!I6</f>
        <v>0.318</v>
      </c>
      <c r="F6" s="57">
        <f>'②-2_ハザード評価・スコア計算用'!I7</f>
        <v>4.4999999999999998E-2</v>
      </c>
    </row>
    <row r="7" spans="1:8" x14ac:dyDescent="0.4">
      <c r="B7" s="74" t="s">
        <v>395</v>
      </c>
      <c r="C7" s="70">
        <f>IF(C6&gt;=0.26,1,0)</f>
        <v>1</v>
      </c>
      <c r="D7" s="67">
        <f>IF(D6&gt;=0.26,1,0)</f>
        <v>1</v>
      </c>
      <c r="E7" s="65">
        <f>IF(E6&gt;=0.26,1,0)</f>
        <v>1</v>
      </c>
      <c r="F7" s="64">
        <f>IF(F6&gt;=0.26,1,0)</f>
        <v>0</v>
      </c>
      <c r="H7" s="75" t="s">
        <v>207</v>
      </c>
    </row>
    <row r="8" spans="1:8" x14ac:dyDescent="0.4">
      <c r="B8" s="74" t="s">
        <v>396</v>
      </c>
      <c r="C8" s="72">
        <f>IF(C7=0,IF(C6&gt;=0.06,1,0),0)</f>
        <v>0</v>
      </c>
      <c r="D8" s="71">
        <f>IF(D7=0,IF(D6&gt;=0.06,1,0),0)</f>
        <v>0</v>
      </c>
      <c r="E8" s="68">
        <f>IF(E7=0,IF(E6&gt;=0.06,1,0),0)</f>
        <v>0</v>
      </c>
      <c r="F8" s="66">
        <f>IF(F7=0,IF(F6&gt;=0.06,1,0),0)</f>
        <v>0</v>
      </c>
      <c r="H8" s="76" t="s">
        <v>216</v>
      </c>
    </row>
    <row r="9" spans="1:8" x14ac:dyDescent="0.4">
      <c r="B9" s="74" t="s">
        <v>397</v>
      </c>
      <c r="C9" s="72">
        <f>IF(SUM(C7:C8)=0,IF(C6&gt;=0.03,1,0),0)</f>
        <v>0</v>
      </c>
      <c r="D9" s="73">
        <f>IF(SUM(D7:D8)=0,IF(D6&gt;=0.03,1,0),0)</f>
        <v>0</v>
      </c>
      <c r="E9" s="71">
        <f>IF(SUM(E7:E8)=0,IF(E6&gt;=0.03,1,0),0)</f>
        <v>0</v>
      </c>
      <c r="F9" s="69">
        <f>IF(SUM(F7:F8)=0,IF(F6&gt;=0.03,1,0),0)</f>
        <v>1</v>
      </c>
      <c r="H9" s="77" t="s">
        <v>225</v>
      </c>
    </row>
    <row r="10" spans="1:8" x14ac:dyDescent="0.4">
      <c r="B10" s="74" t="s">
        <v>398</v>
      </c>
      <c r="C10" s="59">
        <f>IF(SUM(C7:C9)=0,IF(C6&gt;=0.001,1,0),0)</f>
        <v>0</v>
      </c>
      <c r="D10" s="73">
        <f>IF(SUM(D7:D9)=0,IF(D6&gt;=0.001,1,0),0)</f>
        <v>0</v>
      </c>
      <c r="E10" s="73">
        <f>IF(SUM(E7:E9)=0,IF(E6&gt;=0.001,1,0),0)</f>
        <v>0</v>
      </c>
      <c r="F10" s="63">
        <f>IF(SUM(F7:F9)=0,IF(F6&gt;=0.001,1,0),0)</f>
        <v>0</v>
      </c>
      <c r="H10" s="78" t="s">
        <v>227</v>
      </c>
    </row>
    <row r="11" spans="1:8" x14ac:dyDescent="0.4">
      <c r="B11" s="74" t="s">
        <v>399</v>
      </c>
      <c r="C11" s="60">
        <f>IF(SUM(C7:C10)=0,1,0)</f>
        <v>0</v>
      </c>
      <c r="D11" s="61">
        <f t="shared" ref="D11:F11" si="0">IF(SUM(D7:D10)=0,1,0)</f>
        <v>0</v>
      </c>
      <c r="E11" s="61">
        <f t="shared" si="0"/>
        <v>0</v>
      </c>
      <c r="F11" s="62">
        <f t="shared" si="0"/>
        <v>0</v>
      </c>
      <c r="H11" s="1" t="s">
        <v>230</v>
      </c>
    </row>
    <row r="13" spans="1:8" x14ac:dyDescent="0.4">
      <c r="D13" s="79" t="s">
        <v>401</v>
      </c>
      <c r="F13" t="s">
        <v>400</v>
      </c>
    </row>
    <row r="15" spans="1:8" x14ac:dyDescent="0.4">
      <c r="B15" t="s">
        <v>409</v>
      </c>
    </row>
    <row r="16" spans="1:8" x14ac:dyDescent="0.4">
      <c r="C16" s="80" t="s">
        <v>405</v>
      </c>
      <c r="D16" s="81" t="s">
        <v>406</v>
      </c>
      <c r="E16" s="81" t="s">
        <v>225</v>
      </c>
      <c r="F16" s="81" t="s">
        <v>408</v>
      </c>
      <c r="G16" s="82" t="s">
        <v>407</v>
      </c>
    </row>
    <row r="17" spans="2:7" x14ac:dyDescent="0.4">
      <c r="C17" s="80" t="s">
        <v>232</v>
      </c>
      <c r="D17" s="81" t="s">
        <v>233</v>
      </c>
      <c r="E17" s="81" t="s">
        <v>234</v>
      </c>
      <c r="F17" s="81" t="s">
        <v>235</v>
      </c>
      <c r="G17" s="82" t="s">
        <v>404</v>
      </c>
    </row>
    <row r="18" spans="2:7" x14ac:dyDescent="0.4">
      <c r="C18" s="83">
        <f>'②-2_ハザード評価・スコア計算用'!L10</f>
        <v>0</v>
      </c>
      <c r="D18" s="84">
        <f>'②-2_ハザード評価・スコア計算用'!M10</f>
        <v>0</v>
      </c>
      <c r="E18" s="85">
        <f>'②-2_ハザード評価・スコア計算用'!N10</f>
        <v>0</v>
      </c>
      <c r="F18" s="86">
        <f>'②-2_ハザード評価・スコア計算用'!O10</f>
        <v>0</v>
      </c>
      <c r="G18" s="87">
        <f>'②-2_ハザード評価・スコア計算用'!P10</f>
        <v>1</v>
      </c>
    </row>
    <row r="20" spans="2:7" x14ac:dyDescent="0.4">
      <c r="B20" t="s">
        <v>403</v>
      </c>
      <c r="C20">
        <f>'②-2_ハザード評価・スコア計算用'!I12</f>
        <v>1.18</v>
      </c>
    </row>
    <row r="21" spans="2:7" x14ac:dyDescent="0.4">
      <c r="C21" s="80" t="s">
        <v>230</v>
      </c>
      <c r="D21" s="81" t="s">
        <v>227</v>
      </c>
      <c r="E21" s="81" t="s">
        <v>225</v>
      </c>
      <c r="F21" s="81" t="s">
        <v>216</v>
      </c>
      <c r="G21" s="82" t="s">
        <v>207</v>
      </c>
    </row>
    <row r="22" spans="2:7" x14ac:dyDescent="0.4">
      <c r="C22" s="80" t="s">
        <v>240</v>
      </c>
      <c r="D22" s="81" t="s">
        <v>241</v>
      </c>
      <c r="E22" s="81" t="s">
        <v>242</v>
      </c>
      <c r="F22" s="81" t="s">
        <v>243</v>
      </c>
      <c r="G22" s="82" t="s">
        <v>244</v>
      </c>
    </row>
    <row r="23" spans="2:7" x14ac:dyDescent="0.4">
      <c r="C23" s="83">
        <f>'②-2_ハザード評価・スコア計算用'!L12</f>
        <v>0</v>
      </c>
      <c r="D23" s="84">
        <f>'②-2_ハザード評価・スコア計算用'!M12</f>
        <v>1</v>
      </c>
      <c r="E23" s="85">
        <f>'②-2_ハザード評価・スコア計算用'!N12</f>
        <v>0</v>
      </c>
      <c r="F23" s="86">
        <f>'②-2_ハザード評価・スコア計算用'!O12</f>
        <v>0</v>
      </c>
      <c r="G23" s="87">
        <f>'②-2_ハザード評価・スコア計算用'!P12</f>
        <v>0</v>
      </c>
    </row>
    <row r="26" spans="2:7" x14ac:dyDescent="0.4">
      <c r="B26" t="s">
        <v>411</v>
      </c>
    </row>
    <row r="27" spans="2:7" x14ac:dyDescent="0.4">
      <c r="C27" s="80" t="s">
        <v>230</v>
      </c>
      <c r="D27" s="81" t="s">
        <v>227</v>
      </c>
      <c r="E27" s="81" t="s">
        <v>216</v>
      </c>
      <c r="F27" s="82" t="s">
        <v>207</v>
      </c>
    </row>
    <row r="28" spans="2:7" x14ac:dyDescent="0.4">
      <c r="C28" s="83">
        <f>'②-2_ハザード評価・スコア計算用'!L14</f>
        <v>1</v>
      </c>
      <c r="D28" s="84">
        <f>'②-2_ハザード評価・スコア計算用'!M14</f>
        <v>0</v>
      </c>
      <c r="E28" s="85">
        <f>'②-2_ハザード評価・スコア計算用'!N14</f>
        <v>0</v>
      </c>
      <c r="F28" s="87">
        <f>'②-2_ハザード評価・スコア計算用'!P14</f>
        <v>0</v>
      </c>
    </row>
    <row r="30" spans="2:7" x14ac:dyDescent="0.4">
      <c r="B30" t="s">
        <v>412</v>
      </c>
    </row>
    <row r="31" spans="2:7" x14ac:dyDescent="0.4">
      <c r="C31" s="80" t="s">
        <v>410</v>
      </c>
      <c r="D31" s="81" t="s">
        <v>259</v>
      </c>
      <c r="E31" s="81" t="s">
        <v>260</v>
      </c>
      <c r="F31" s="82" t="s">
        <v>261</v>
      </c>
    </row>
    <row r="32" spans="2:7" x14ac:dyDescent="0.4">
      <c r="C32" s="83">
        <f>'②-2_ハザード評価・スコア計算用'!L18</f>
        <v>0</v>
      </c>
      <c r="D32" s="84">
        <f>'②-2_ハザード評価・スコア計算用'!M18</f>
        <v>0</v>
      </c>
      <c r="E32" s="85">
        <f>'②-2_ハザード評価・スコア計算用'!N18</f>
        <v>0</v>
      </c>
      <c r="F32" s="87">
        <f>'②-2_ハザード評価・スコア計算用'!P18</f>
        <v>0</v>
      </c>
    </row>
    <row r="34" spans="1:7" x14ac:dyDescent="0.4">
      <c r="B34" t="s">
        <v>273</v>
      </c>
    </row>
    <row r="35" spans="1:7" x14ac:dyDescent="0.4">
      <c r="C35" s="80" t="s">
        <v>230</v>
      </c>
      <c r="D35" s="81" t="s">
        <v>227</v>
      </c>
      <c r="E35" s="81" t="s">
        <v>225</v>
      </c>
      <c r="F35" s="81" t="s">
        <v>216</v>
      </c>
      <c r="G35" s="82" t="s">
        <v>207</v>
      </c>
    </row>
    <row r="36" spans="1:7" x14ac:dyDescent="0.4">
      <c r="C36" s="80" t="s">
        <v>267</v>
      </c>
      <c r="D36" s="81" t="s">
        <v>268</v>
      </c>
      <c r="E36" s="81" t="s">
        <v>269</v>
      </c>
      <c r="F36" s="81" t="s">
        <v>270</v>
      </c>
      <c r="G36" s="82" t="s">
        <v>271</v>
      </c>
    </row>
    <row r="37" spans="1:7" x14ac:dyDescent="0.4">
      <c r="C37" s="83">
        <f>SUM('②-2_ハザード評価・スコア計算用'!K21:L21)</f>
        <v>0</v>
      </c>
      <c r="D37" s="84">
        <f>'②-2_ハザード評価・スコア計算用'!M21</f>
        <v>0</v>
      </c>
      <c r="E37" s="85">
        <f>'②-2_ハザード評価・スコア計算用'!N21</f>
        <v>1</v>
      </c>
      <c r="F37" s="86">
        <f>'②-2_ハザード評価・スコア計算用'!O21</f>
        <v>0</v>
      </c>
      <c r="G37" s="87">
        <f>'②-2_ハザード評価・スコア計算用'!P21</f>
        <v>0</v>
      </c>
    </row>
    <row r="40" spans="1:7" x14ac:dyDescent="0.4">
      <c r="A40" t="s">
        <v>44</v>
      </c>
    </row>
    <row r="41" spans="1:7" x14ac:dyDescent="0.4">
      <c r="B41" s="104" t="s">
        <v>417</v>
      </c>
      <c r="C41" s="104"/>
      <c r="D41" s="104"/>
      <c r="E41" s="104"/>
      <c r="F41" s="104"/>
    </row>
    <row r="42" spans="1:7" x14ac:dyDescent="0.4">
      <c r="B42" s="105" t="s">
        <v>415</v>
      </c>
      <c r="C42" s="88" t="s">
        <v>276</v>
      </c>
      <c r="D42" s="89" t="s">
        <v>277</v>
      </c>
      <c r="E42" s="89" t="s">
        <v>278</v>
      </c>
      <c r="F42" s="89" t="s">
        <v>279</v>
      </c>
    </row>
    <row r="43" spans="1:7" x14ac:dyDescent="0.4">
      <c r="B43" s="106"/>
      <c r="C43" s="90">
        <f>'②-2_ハザード評価・スコア計算用'!M26</f>
        <v>9</v>
      </c>
      <c r="D43" s="90">
        <f>'②-2_ハザード評価・スコア計算用'!N26</f>
        <v>1</v>
      </c>
      <c r="E43" s="90">
        <f>'②-2_ハザード評価・スコア計算用'!O26</f>
        <v>0</v>
      </c>
      <c r="F43" s="90">
        <f>'②-2_ハザード評価・スコア計算用'!P26</f>
        <v>0</v>
      </c>
    </row>
    <row r="44" spans="1:7" x14ac:dyDescent="0.4">
      <c r="B44" s="90" t="s">
        <v>418</v>
      </c>
      <c r="C44" s="95">
        <f>'②-2_ハザード評価・スコア計算用'!M31</f>
        <v>0</v>
      </c>
      <c r="D44" s="93">
        <f>'②-2_ハザード評価・スコア計算用'!N31</f>
        <v>0</v>
      </c>
      <c r="E44" s="96">
        <f>'②-2_ハザード評価・スコア計算用'!O31</f>
        <v>0</v>
      </c>
      <c r="F44" s="91">
        <f>'②-2_ハザード評価・スコア計算用'!P31</f>
        <v>0</v>
      </c>
    </row>
    <row r="45" spans="1:7" x14ac:dyDescent="0.4">
      <c r="B45" s="99" t="s">
        <v>419</v>
      </c>
      <c r="C45" s="100">
        <f>IF(C44=0,'②-2_ハザード評価・スコア計算用'!M29,0)</f>
        <v>0</v>
      </c>
      <c r="D45" s="101">
        <f>IF(D44=0,'②-2_ハザード評価・スコア計算用'!N29,0)</f>
        <v>0</v>
      </c>
      <c r="E45" s="102">
        <f>IF(E44=0,'②-2_ハザード評価・スコア計算用'!O29,0)</f>
        <v>0</v>
      </c>
      <c r="F45" s="103">
        <f>IF(F44=0,'②-2_ハザード評価・スコア計算用'!P29,0)</f>
        <v>0</v>
      </c>
    </row>
    <row r="46" spans="1:7" x14ac:dyDescent="0.4">
      <c r="B46" s="98" t="s">
        <v>416</v>
      </c>
      <c r="C46" s="58">
        <f>'②-2_ハザード評価・スコア計算用'!M27</f>
        <v>1</v>
      </c>
      <c r="D46" s="97">
        <f>'②-2_ハザード評価・スコア計算用'!N27</f>
        <v>1</v>
      </c>
      <c r="E46" s="94">
        <f>'②-2_ハザード評価・スコア計算用'!O27</f>
        <v>0</v>
      </c>
      <c r="F46" s="92">
        <f>'②-2_ハザード評価・スコア計算用'!P27</f>
        <v>0</v>
      </c>
    </row>
    <row r="47" spans="1:7" x14ac:dyDescent="0.4">
      <c r="B47" s="104" t="s">
        <v>466</v>
      </c>
      <c r="C47" s="104"/>
      <c r="D47" s="104"/>
      <c r="E47" s="104"/>
      <c r="F47" s="104"/>
    </row>
    <row r="49" spans="1:7" x14ac:dyDescent="0.4">
      <c r="B49" t="s">
        <v>420</v>
      </c>
      <c r="C49">
        <f>'②-2_ハザード評価・スコア計算用'!I34</f>
        <v>23.7</v>
      </c>
    </row>
    <row r="50" spans="1:7" x14ac:dyDescent="0.4">
      <c r="C50" s="80" t="s">
        <v>424</v>
      </c>
      <c r="D50" s="81" t="s">
        <v>423</v>
      </c>
      <c r="E50" s="81" t="s">
        <v>225</v>
      </c>
      <c r="F50" s="81" t="s">
        <v>422</v>
      </c>
      <c r="G50" s="82" t="s">
        <v>421</v>
      </c>
    </row>
    <row r="51" spans="1:7" x14ac:dyDescent="0.4">
      <c r="C51" s="80" t="s">
        <v>294</v>
      </c>
      <c r="D51" s="81" t="s">
        <v>295</v>
      </c>
      <c r="E51" s="81" t="s">
        <v>296</v>
      </c>
      <c r="F51" s="81" t="s">
        <v>297</v>
      </c>
      <c r="G51" s="82" t="s">
        <v>298</v>
      </c>
    </row>
    <row r="52" spans="1:7" x14ac:dyDescent="0.4">
      <c r="C52" s="83">
        <f>'②-2_ハザード評価・スコア計算用'!L34</f>
        <v>0</v>
      </c>
      <c r="D52" s="84">
        <f>'②-2_ハザード評価・スコア計算用'!M34</f>
        <v>0</v>
      </c>
      <c r="E52" s="85">
        <f>'②-2_ハザード評価・スコア計算用'!N34</f>
        <v>1</v>
      </c>
      <c r="F52" s="86">
        <f>'②-2_ハザード評価・スコア計算用'!O34</f>
        <v>0</v>
      </c>
      <c r="G52" s="87">
        <f>'②-2_ハザード評価・スコア計算用'!P34</f>
        <v>0</v>
      </c>
    </row>
    <row r="54" spans="1:7" x14ac:dyDescent="0.4">
      <c r="B54" t="s">
        <v>425</v>
      </c>
      <c r="C54">
        <f>'②-2_ハザード評価・スコア計算用'!I36</f>
        <v>38.1</v>
      </c>
    </row>
    <row r="55" spans="1:7" x14ac:dyDescent="0.4">
      <c r="C55" s="80" t="s">
        <v>424</v>
      </c>
      <c r="D55" s="81" t="s">
        <v>423</v>
      </c>
      <c r="E55" s="81" t="s">
        <v>225</v>
      </c>
      <c r="F55" s="81" t="s">
        <v>422</v>
      </c>
      <c r="G55" s="82" t="s">
        <v>421</v>
      </c>
    </row>
    <row r="56" spans="1:7" x14ac:dyDescent="0.4">
      <c r="C56" s="80" t="s">
        <v>301</v>
      </c>
      <c r="D56" s="81" t="s">
        <v>296</v>
      </c>
      <c r="E56" s="81" t="s">
        <v>297</v>
      </c>
      <c r="F56" s="81" t="s">
        <v>298</v>
      </c>
      <c r="G56" s="82" t="s">
        <v>302</v>
      </c>
    </row>
    <row r="57" spans="1:7" x14ac:dyDescent="0.4">
      <c r="C57" s="83">
        <f>'②-2_ハザード評価・スコア計算用'!L36</f>
        <v>0</v>
      </c>
      <c r="D57" s="84">
        <f>'②-2_ハザード評価・スコア計算用'!M36</f>
        <v>0</v>
      </c>
      <c r="E57" s="85">
        <f>'②-2_ハザード評価・スコア計算用'!N36</f>
        <v>1</v>
      </c>
      <c r="F57" s="86">
        <f>'②-2_ハザード評価・スコア計算用'!O36</f>
        <v>0</v>
      </c>
      <c r="G57" s="87">
        <f>'②-2_ハザード評価・スコア計算用'!P36</f>
        <v>0</v>
      </c>
    </row>
    <row r="59" spans="1:7" x14ac:dyDescent="0.4">
      <c r="A59" t="s">
        <v>426</v>
      </c>
    </row>
    <row r="60" spans="1:7" x14ac:dyDescent="0.4">
      <c r="B60" t="s">
        <v>427</v>
      </c>
    </row>
    <row r="61" spans="1:7" x14ac:dyDescent="0.4">
      <c r="B61" t="s">
        <v>428</v>
      </c>
      <c r="C61" s="80" t="s">
        <v>230</v>
      </c>
      <c r="D61" s="81" t="s">
        <v>227</v>
      </c>
      <c r="E61" s="81" t="s">
        <v>225</v>
      </c>
      <c r="F61" s="81" t="s">
        <v>216</v>
      </c>
      <c r="G61" s="82" t="s">
        <v>207</v>
      </c>
    </row>
    <row r="62" spans="1:7" x14ac:dyDescent="0.4">
      <c r="C62" s="80" t="s">
        <v>313</v>
      </c>
      <c r="D62" s="81" t="s">
        <v>314</v>
      </c>
      <c r="E62" s="81" t="s">
        <v>269</v>
      </c>
      <c r="F62" s="81" t="s">
        <v>315</v>
      </c>
      <c r="G62" s="82" t="s">
        <v>316</v>
      </c>
    </row>
    <row r="63" spans="1:7" x14ac:dyDescent="0.4">
      <c r="C63" s="83" t="e">
        <f ca="1">OFFSET('②-2_ハザード評価・スコア計算用'!$T$42,MATCH('①-2_レポート用(ハザード)'!B61,'②-2_ハザード評価・スコア計算用'!$T$43:$T$46,0),-8)+OFFSET('②-2_ハザード評価・スコア計算用'!$T$42,MATCH('①-2_レポート用(ハザード)'!B61,'②-2_ハザード評価・スコア計算用'!$T$43:$T$46,0),-9)</f>
        <v>#N/A</v>
      </c>
      <c r="D63" s="84" t="e">
        <f ca="1">OFFSET('②-2_ハザード評価・スコア計算用'!$T$42,MATCH('①-2_レポート用(ハザード)'!B61,'②-2_ハザード評価・スコア計算用'!$T$43:$T$46,0),-7)</f>
        <v>#N/A</v>
      </c>
      <c r="E63" s="85" t="e">
        <f ca="1">OFFSET('②-2_ハザード評価・スコア計算用'!$T$42,MATCH('①-2_レポート用(ハザード)'!B61,'②-2_ハザード評価・スコア計算用'!$T$43:$T$46,0),-6)</f>
        <v>#N/A</v>
      </c>
      <c r="F63" s="86" t="e">
        <f ca="1">OFFSET('②-2_ハザード評価・スコア計算用'!$T$42,MATCH('①-2_レポート用(ハザード)'!B61,'②-2_ハザード評価・スコア計算用'!$T$43:$T$46,0),-5)</f>
        <v>#N/A</v>
      </c>
      <c r="G63" s="87" t="e">
        <f ca="1">OFFSET('②-2_ハザード評価・スコア計算用'!$T$42,MATCH('①-2_レポート用(ハザード)'!B61,'②-2_ハザード評価・スコア計算用'!$T$43:$T$46,0),-4)</f>
        <v>#N/A</v>
      </c>
    </row>
    <row r="65" spans="2:7" x14ac:dyDescent="0.4">
      <c r="B65" t="s">
        <v>430</v>
      </c>
    </row>
    <row r="66" spans="2:7" x14ac:dyDescent="0.4">
      <c r="B66" t="s">
        <v>429</v>
      </c>
      <c r="C66" s="80" t="s">
        <v>230</v>
      </c>
      <c r="D66" s="81" t="s">
        <v>227</v>
      </c>
      <c r="E66" s="81" t="s">
        <v>225</v>
      </c>
      <c r="F66" s="81" t="s">
        <v>216</v>
      </c>
      <c r="G66" s="82" t="s">
        <v>207</v>
      </c>
    </row>
    <row r="67" spans="2:7" x14ac:dyDescent="0.4">
      <c r="C67" s="80" t="s">
        <v>334</v>
      </c>
      <c r="D67" s="81" t="s">
        <v>335</v>
      </c>
      <c r="E67" s="81" t="s">
        <v>314</v>
      </c>
      <c r="F67" s="81" t="s">
        <v>269</v>
      </c>
      <c r="G67" s="82" t="s">
        <v>336</v>
      </c>
    </row>
    <row r="68" spans="2:7" x14ac:dyDescent="0.4">
      <c r="C68" s="83" t="e">
        <f ca="1">OFFSET('②-2_ハザード評価・スコア計算用'!$T$49,MATCH('①-2_レポート用(ハザード)'!B66,'②-2_ハザード評価・スコア計算用'!$T$50:$T$51,0),-8)</f>
        <v>#N/A</v>
      </c>
      <c r="D68" s="84" t="e">
        <f ca="1">OFFSET('②-2_ハザード評価・スコア計算用'!$T$49,MATCH('①-2_レポート用(ハザード)'!B66,'②-2_ハザード評価・スコア計算用'!$T$50:$T$51,0),-7)</f>
        <v>#N/A</v>
      </c>
      <c r="E68" s="85" t="e">
        <f ca="1">OFFSET('②-2_ハザード評価・スコア計算用'!$T$49,MATCH('①-2_レポート用(ハザード)'!B66,'②-2_ハザード評価・スコア計算用'!$T$50:$T$51,0),-6)</f>
        <v>#N/A</v>
      </c>
      <c r="F68" s="86" t="e">
        <f ca="1">OFFSET('②-2_ハザード評価・スコア計算用'!$T$49,MATCH('①-2_レポート用(ハザード)'!B66,'②-2_ハザード評価・スコア計算用'!$T$50:$T$51,0),-5)</f>
        <v>#N/A</v>
      </c>
      <c r="G68" s="87" t="e">
        <f ca="1">OFFSET('②-2_ハザード評価・スコア計算用'!$T$49,MATCH('①-2_レポート用(ハザード)'!B66,'②-2_ハザード評価・スコア計算用'!$T$50:$T$51,0),-4)</f>
        <v>#N/A</v>
      </c>
    </row>
    <row r="70" spans="2:7" x14ac:dyDescent="0.4">
      <c r="B70" t="s">
        <v>432</v>
      </c>
    </row>
    <row r="71" spans="2:7" x14ac:dyDescent="0.4">
      <c r="B71" t="s">
        <v>431</v>
      </c>
      <c r="C71" s="80" t="s">
        <v>230</v>
      </c>
      <c r="D71" s="81" t="s">
        <v>227</v>
      </c>
      <c r="E71" s="81" t="s">
        <v>225</v>
      </c>
      <c r="F71" s="81" t="s">
        <v>216</v>
      </c>
      <c r="G71" s="82" t="s">
        <v>207</v>
      </c>
    </row>
    <row r="72" spans="2:7" x14ac:dyDescent="0.4">
      <c r="C72" s="80" t="s">
        <v>313</v>
      </c>
      <c r="D72" s="81" t="s">
        <v>314</v>
      </c>
      <c r="E72" s="81" t="s">
        <v>269</v>
      </c>
      <c r="F72" s="81" t="s">
        <v>315</v>
      </c>
      <c r="G72" s="82" t="s">
        <v>316</v>
      </c>
    </row>
    <row r="73" spans="2:7" x14ac:dyDescent="0.4">
      <c r="C73" s="83" t="e">
        <f ca="1">OFFSET('②-2_ハザード評価・スコア計算用'!$T$53,MATCH('①-2_レポート用(ハザード)'!B71,'②-2_ハザード評価・スコア計算用'!$T$54:$T$55,0),-8)+OFFSET('②-2_ハザード評価・スコア計算用'!$T$53,MATCH('①-2_レポート用(ハザード)'!B71,'②-2_ハザード評価・スコア計算用'!$T$54:$T$55,0),-9)</f>
        <v>#N/A</v>
      </c>
      <c r="D73" s="84" t="e">
        <f ca="1">OFFSET('②-2_ハザード評価・スコア計算用'!$T$53,MATCH('①-2_レポート用(ハザード)'!B71,'②-2_ハザード評価・スコア計算用'!$T$54:$T$55,0),-7)</f>
        <v>#N/A</v>
      </c>
      <c r="E73" s="85" t="e">
        <f ca="1">OFFSET('②-2_ハザード評価・スコア計算用'!$T$53,MATCH('①-2_レポート用(ハザード)'!B71,'②-2_ハザード評価・スコア計算用'!$T$54:$T$55,0),-6)</f>
        <v>#N/A</v>
      </c>
      <c r="F73" s="86" t="e">
        <f ca="1">OFFSET('②-2_ハザード評価・スコア計算用'!$T$53,MATCH('①-2_レポート用(ハザード)'!B71,'②-2_ハザード評価・スコア計算用'!$T$54:$T$55,0),-5)</f>
        <v>#N/A</v>
      </c>
      <c r="G73" s="87" t="e">
        <f ca="1">OFFSET('②-2_ハザード評価・スコア計算用'!$T$53,MATCH('①-2_レポート用(ハザード)'!B71,'②-2_ハザード評価・スコア計算用'!$T$54:$T$55,0),-4)</f>
        <v>#N/A</v>
      </c>
    </row>
  </sheetData>
  <phoneticPr fontId="3"/>
  <pageMargins left="0.7" right="0.7" top="0.75" bottom="0.75" header="0.3" footer="0.3"/>
  <pageSetup paperSize="9" orientation="portrait" horizontalDpi="1200" verticalDpi="1200" r:id="rId1"/>
  <ignoredErrors>
    <ignoredError sqref="C37" formulaRange="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'②-2_ハザード評価・スコア計算用'!$T$43:$T$46</xm:f>
          </x14:formula1>
          <xm:sqref>B61</xm:sqref>
        </x14:dataValidation>
        <x14:dataValidation type="list" allowBlank="1" showInputMessage="1" showErrorMessage="1" xr:uid="{00000000-0002-0000-0100-000001000000}">
          <x14:formula1>
            <xm:f>'②-2_ハザード評価・スコア計算用'!$T$50:$T$51</xm:f>
          </x14:formula1>
          <xm:sqref>B66</xm:sqref>
        </x14:dataValidation>
        <x14:dataValidation type="list" allowBlank="1" showInputMessage="1" showErrorMessage="1" xr:uid="{00000000-0002-0000-0100-000002000000}">
          <x14:formula1>
            <xm:f>'②-2_ハザード評価・スコア計算用'!$T$54:$T$55</xm:f>
          </x14:formula1>
          <xm:sqref>B71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N1"/>
  <sheetViews>
    <sheetView topLeftCell="A10" workbookViewId="0"/>
  </sheetViews>
  <sheetFormatPr defaultRowHeight="13.5" x14ac:dyDescent="0.4"/>
  <cols>
    <col min="1" max="1" width="9" style="14"/>
    <col min="2" max="2" width="9.5" style="14" customWidth="1"/>
    <col min="3" max="12" width="7.5" style="14" customWidth="1"/>
    <col min="13" max="13" width="9" style="14"/>
    <col min="14" max="14" width="9" style="40"/>
    <col min="15" max="16384" width="9" style="14"/>
  </cols>
  <sheetData>
    <row r="1" spans="1:1" ht="24" x14ac:dyDescent="0.4">
      <c r="A1" s="45" t="s">
        <v>200</v>
      </c>
    </row>
  </sheetData>
  <phoneticPr fontId="3"/>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報告書インポート</vt:lpstr>
      <vt:lpstr>②-1_ハザード評価・スコア集計用</vt:lpstr>
      <vt:lpstr>②-2_ハザード評価・スコア計算用</vt:lpstr>
      <vt:lpstr>③-1_フラジリティ評価・スコア集計用</vt:lpstr>
      <vt:lpstr>③-2_フラジリティ評価・スコア計算用</vt:lpstr>
      <vt:lpstr>選択肢リスト</vt:lpstr>
      <vt:lpstr>①-1_レポート用(サマリー)</vt:lpstr>
      <vt:lpstr>①-2_レポート用(ハザード)</vt:lpstr>
      <vt:lpstr>①-3_レポート用(フラジリティ)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伊藤竜平_A6Y41</cp:lastModifiedBy>
  <dcterms:created xsi:type="dcterms:W3CDTF">2020-05-29T06:12:38Z</dcterms:created>
  <dcterms:modified xsi:type="dcterms:W3CDTF">2024-11-15T09:36:58Z</dcterms:modified>
</cp:coreProperties>
</file>