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ral/Documents/Developer/Python/PileAnalyser/tests/"/>
    </mc:Choice>
  </mc:AlternateContent>
  <xr:revisionPtr revIDLastSave="0" documentId="13_ncr:1_{A983D410-03E6-0B41-8282-E753861805D0}" xr6:coauthVersionLast="45" xr6:coauthVersionMax="45" xr10:uidLastSave="{00000000-0000-0000-0000-000000000000}"/>
  <bookViews>
    <workbookView xWindow="30280" yWindow="3440" windowWidth="22580" windowHeight="20540" xr2:uid="{2908A429-43FE-1E4A-B2E4-C45306170B99}"/>
  </bookViews>
  <sheets>
    <sheet name="杭水平力の検討" sheetId="3" r:id="rId1"/>
  </sheets>
  <definedNames>
    <definedName name="ReactData">#REF!</definedName>
    <definedName name="支持力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" i="3" l="1"/>
  <c r="W7" i="3"/>
  <c r="I34" i="3" s="1"/>
  <c r="T7" i="3"/>
  <c r="C12" i="3" l="1"/>
  <c r="C38" i="3"/>
  <c r="C34" i="3"/>
  <c r="Q27" i="3"/>
  <c r="N27" i="3"/>
  <c r="K27" i="3"/>
  <c r="H27" i="3"/>
  <c r="X12" i="3"/>
  <c r="K12" i="3"/>
  <c r="N12" i="3" s="1"/>
  <c r="L22" i="3"/>
  <c r="Y38" i="3"/>
  <c r="Y34" i="3"/>
  <c r="E22" i="3"/>
  <c r="AA12" i="3" l="1"/>
  <c r="AE12" i="3" s="1"/>
  <c r="C22" i="3"/>
  <c r="C27" i="3"/>
  <c r="AE27" i="3" l="1"/>
  <c r="AH12" i="3" l="1"/>
  <c r="P22" i="3" l="1"/>
  <c r="T22" i="3" l="1"/>
  <c r="X22" i="3" l="1"/>
  <c r="AB22" i="3" s="1"/>
  <c r="AF22" i="3" s="1"/>
  <c r="W27" i="3" l="1"/>
  <c r="T27" i="3"/>
  <c r="Z27" i="3"/>
  <c r="E38" i="3"/>
  <c r="I38" i="3" s="1"/>
  <c r="AB38" i="3" s="1"/>
  <c r="AE38" i="3" s="1"/>
  <c r="M34" i="3" l="1"/>
  <c r="Q34" i="3" s="1"/>
  <c r="U34" i="3" l="1"/>
  <c r="AB34" i="3" s="1"/>
  <c r="AE34" i="3" s="1"/>
</calcChain>
</file>

<file path=xl/sharedStrings.xml><?xml version="1.0" encoding="utf-8"?>
<sst xmlns="http://schemas.openxmlformats.org/spreadsheetml/2006/main" count="64" uniqueCount="61">
  <si>
    <t>杭径
(mm)</t>
    <rPh sb="0" eb="1">
      <t>ク</t>
    </rPh>
    <rPh sb="1" eb="2">
      <t>ケ</t>
    </rPh>
    <phoneticPr fontId="3"/>
  </si>
  <si>
    <t>羽径
(mm)</t>
    <rPh sb="0" eb="1">
      <t>ハn</t>
    </rPh>
    <rPh sb="1" eb="2">
      <t>ケ</t>
    </rPh>
    <phoneticPr fontId="3"/>
  </si>
  <si>
    <t>杭長
(m)</t>
    <rPh sb="0" eb="2">
      <t>ク</t>
    </rPh>
    <phoneticPr fontId="3"/>
  </si>
  <si>
    <t>σs
(N/mm2)</t>
    <phoneticPr fontId="3"/>
  </si>
  <si>
    <t>本数</t>
    <rPh sb="0" eb="2">
      <t>ホn</t>
    </rPh>
    <phoneticPr fontId="3"/>
  </si>
  <si>
    <t>5.3 杭水平力の検討</t>
    <rPh sb="4" eb="5">
      <t>ク</t>
    </rPh>
    <rPh sb="5" eb="8">
      <t>ス</t>
    </rPh>
    <phoneticPr fontId="3"/>
  </si>
  <si>
    <t>1) 杭仕様(再掲)</t>
    <rPh sb="3" eb="4">
      <t>ク</t>
    </rPh>
    <rPh sb="4" eb="6">
      <t>シヨ</t>
    </rPh>
    <rPh sb="7" eb="8">
      <t>サイカツ</t>
    </rPh>
    <rPh sb="8" eb="9">
      <t>ケ</t>
    </rPh>
    <phoneticPr fontId="3"/>
  </si>
  <si>
    <t>肉厚
(mm)</t>
    <rPh sb="0" eb="2">
      <t>ニk</t>
    </rPh>
    <phoneticPr fontId="3"/>
  </si>
  <si>
    <t>F*
(N/mm2)</t>
    <phoneticPr fontId="3"/>
  </si>
  <si>
    <t>断面積
(mm2)</t>
    <rPh sb="0" eb="3">
      <t>ダンメn</t>
    </rPh>
    <phoneticPr fontId="3"/>
  </si>
  <si>
    <t>Es
(N/mm2)</t>
    <phoneticPr fontId="3"/>
  </si>
  <si>
    <t>Ie
(m4)</t>
    <phoneticPr fontId="3"/>
  </si>
  <si>
    <t>2)水平地盤反力係数と杭の横係数</t>
    <rPh sb="2" eb="10">
      <t>スイヘイジb</t>
    </rPh>
    <rPh sb="11" eb="12">
      <t>ク</t>
    </rPh>
    <rPh sb="13" eb="16">
      <t>ヨk</t>
    </rPh>
    <phoneticPr fontId="3"/>
  </si>
  <si>
    <t>上層平均
N値</t>
    <rPh sb="0" eb="2">
      <t>jy</t>
    </rPh>
    <rPh sb="2" eb="4">
      <t>ヘ</t>
    </rPh>
    <rPh sb="6" eb="7">
      <t>アタ</t>
    </rPh>
    <phoneticPr fontId="3"/>
  </si>
  <si>
    <t>α
砂60粘80</t>
    <phoneticPr fontId="3"/>
  </si>
  <si>
    <t>Eo
(kN/m2)</t>
    <phoneticPr fontId="3"/>
  </si>
  <si>
    <t>Kho
(kN/m3)</t>
    <phoneticPr fontId="3"/>
  </si>
  <si>
    <t>液状化
補正係数γ</t>
    <rPh sb="0" eb="3">
      <t>エk</t>
    </rPh>
    <rPh sb="4" eb="6">
      <t>ホセ</t>
    </rPh>
    <rPh sb="6" eb="8">
      <t>ケ</t>
    </rPh>
    <phoneticPr fontId="3"/>
  </si>
  <si>
    <t>yr
(mm)</t>
    <phoneticPr fontId="3"/>
  </si>
  <si>
    <t>yr^(-1/2)
(cm)</t>
    <phoneticPr fontId="3"/>
  </si>
  <si>
    <t>khl
(kN/m3)</t>
    <phoneticPr fontId="3"/>
  </si>
  <si>
    <t>β
(m-1)</t>
    <phoneticPr fontId="3"/>
  </si>
  <si>
    <t>βL</t>
    <phoneticPr fontId="3"/>
  </si>
  <si>
    <t>3)設計用外力の算出</t>
    <rPh sb="2" eb="5">
      <t>セッケ</t>
    </rPh>
    <rPh sb="5" eb="7">
      <t>ガイry</t>
    </rPh>
    <rPh sb="8" eb="10">
      <t>サンシュt</t>
    </rPh>
    <phoneticPr fontId="3"/>
  </si>
  <si>
    <t>・杭一本あたりに作用する水平力</t>
    <rPh sb="1" eb="4">
      <t>ク</t>
    </rPh>
    <rPh sb="12" eb="15">
      <t>ス</t>
    </rPh>
    <phoneticPr fontId="3"/>
  </si>
  <si>
    <t>杭本数</t>
    <rPh sb="0" eb="3">
      <t>ク</t>
    </rPh>
    <phoneticPr fontId="3"/>
  </si>
  <si>
    <t>Ie</t>
    <phoneticPr fontId="3"/>
  </si>
  <si>
    <t>nLβ3</t>
    <phoneticPr fontId="3"/>
  </si>
  <si>
    <t>ΣnLβ3</t>
    <phoneticPr fontId="3"/>
  </si>
  <si>
    <t>水平力
負担割合</t>
    <rPh sb="0" eb="3">
      <t>スイヘ</t>
    </rPh>
    <rPh sb="4" eb="8">
      <t>フタn</t>
    </rPh>
    <phoneticPr fontId="3"/>
  </si>
  <si>
    <t>水平力
(kN)</t>
    <rPh sb="0" eb="3">
      <t>ス</t>
    </rPh>
    <phoneticPr fontId="3"/>
  </si>
  <si>
    <t>水平力/n
(kN)</t>
    <rPh sb="0" eb="3">
      <t>ス</t>
    </rPh>
    <phoneticPr fontId="3"/>
  </si>
  <si>
    <t>4)杭頭変位・曲げモーメント</t>
    <rPh sb="2" eb="4">
      <t>ク</t>
    </rPh>
    <rPh sb="4" eb="6">
      <t>ヘn</t>
    </rPh>
    <rPh sb="7" eb="8">
      <t>マg</t>
    </rPh>
    <phoneticPr fontId="3"/>
  </si>
  <si>
    <t>αr</t>
    <phoneticPr fontId="3"/>
  </si>
  <si>
    <t>Ryo</t>
    <phoneticPr fontId="3"/>
  </si>
  <si>
    <t>Rmo</t>
    <phoneticPr fontId="3"/>
  </si>
  <si>
    <t>Rmmax</t>
    <phoneticPr fontId="3"/>
  </si>
  <si>
    <t>RLM</t>
    <phoneticPr fontId="3"/>
  </si>
  <si>
    <t>Yo
(mm)</t>
    <phoneticPr fontId="3"/>
  </si>
  <si>
    <t>Mo
(kN-m)</t>
    <phoneticPr fontId="3"/>
  </si>
  <si>
    <t>地中部最大
曲げモーメント</t>
    <rPh sb="0" eb="3">
      <t>チty</t>
    </rPh>
    <rPh sb="3" eb="5">
      <t>サ</t>
    </rPh>
    <rPh sb="6" eb="7">
      <t>マゲm</t>
    </rPh>
    <phoneticPr fontId="3"/>
  </si>
  <si>
    <t>地中部最大
曲げ発生深さ(m)</t>
    <rPh sb="0" eb="3">
      <t>チty</t>
    </rPh>
    <rPh sb="3" eb="5">
      <t>サ</t>
    </rPh>
    <rPh sb="6" eb="7">
      <t>マゲm</t>
    </rPh>
    <rPh sb="8" eb="11">
      <t>ハッセ</t>
    </rPh>
    <phoneticPr fontId="3"/>
  </si>
  <si>
    <t>5)断面算定</t>
    <rPh sb="2" eb="6">
      <t>ダンメンs</t>
    </rPh>
    <phoneticPr fontId="3"/>
  </si>
  <si>
    <t>軸力/曲げモーメントに対する検討</t>
    <rPh sb="0" eb="2">
      <t>ジk</t>
    </rPh>
    <rPh sb="3" eb="4">
      <t>マg</t>
    </rPh>
    <rPh sb="11" eb="12">
      <t>タイs</t>
    </rPh>
    <phoneticPr fontId="3"/>
  </si>
  <si>
    <t>Nmax
(kN)</t>
    <phoneticPr fontId="3"/>
  </si>
  <si>
    <t>N/A
(N/mm2)</t>
    <phoneticPr fontId="3"/>
  </si>
  <si>
    <t>M
(kN-m)</t>
    <phoneticPr fontId="3"/>
  </si>
  <si>
    <t>(M/I)r
(N/mm2)</t>
    <phoneticPr fontId="3"/>
  </si>
  <si>
    <t>N/A + (M/I)r</t>
    <phoneticPr fontId="3"/>
  </si>
  <si>
    <t>fs
(N/mm2)</t>
    <phoneticPr fontId="3"/>
  </si>
  <si>
    <t>検定比</t>
    <rPh sb="0" eb="3">
      <t>ケn</t>
    </rPh>
    <phoneticPr fontId="3"/>
  </si>
  <si>
    <t>判定</t>
    <rPh sb="0" eb="2">
      <t>ハn</t>
    </rPh>
    <phoneticPr fontId="3"/>
  </si>
  <si>
    <t>剪断力に対する検討</t>
    <rPh sb="0" eb="3">
      <t>セn</t>
    </rPh>
    <rPh sb="4" eb="5">
      <t>タイs</t>
    </rPh>
    <phoneticPr fontId="3"/>
  </si>
  <si>
    <t>Q
(kN)</t>
    <phoneticPr fontId="3"/>
  </si>
  <si>
    <t>2Q/A
(N/mm2)</t>
    <phoneticPr fontId="3"/>
  </si>
  <si>
    <t>fs*
(N/mm2)</t>
    <phoneticPr fontId="3"/>
  </si>
  <si>
    <t>上家の水平力</t>
    <rPh sb="0" eb="2">
      <t>ウワヤ</t>
    </rPh>
    <rPh sb="3" eb="6">
      <t>スイ</t>
    </rPh>
    <phoneticPr fontId="2"/>
  </si>
  <si>
    <t>1F重量</t>
    <rPh sb="2" eb="4">
      <t>ジュウリョウ</t>
    </rPh>
    <phoneticPr fontId="2"/>
  </si>
  <si>
    <t>水平震度</t>
    <rPh sb="0" eb="2">
      <t>スイヘイ</t>
    </rPh>
    <rPh sb="2" eb="4">
      <t>シンド</t>
    </rPh>
    <phoneticPr fontId="2"/>
  </si>
  <si>
    <t>欠損断面</t>
    <rPh sb="0" eb="4">
      <t>ケッソn</t>
    </rPh>
    <phoneticPr fontId="2"/>
  </si>
  <si>
    <t>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</si>
</sst>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_ "/>
    <numFmt numFmtId="178" formatCode="0.000.E+00"/>
    <numFmt numFmtId="179" formatCode="0.0_);[Red]\(0.0\)"/>
    <numFmt numFmtId="180" formatCode="0_);[Red]\(0\)"/>
    <numFmt numFmtId="181" formatCode="0.000"/>
    <numFmt numFmtId="182" formatCode="0.00.E+00"/>
    <numFmt numFmtId="183" formatCode="0.00_);[Red]\(0.00\)"/>
    <numFmt numFmtId="184" formatCode="0.00000"/>
    <numFmt numFmtId="185" formatCode="0.000000_);[Red]\(0.000000\)"/>
    <numFmt numFmtId="186" formatCode="0.000000"/>
  </numFmts>
  <fonts count="11">
    <font>
      <sz val="8"/>
      <color theme="1"/>
      <name val="HiraginoSans-W3"/>
      <family val="2"/>
      <charset val="128"/>
    </font>
    <font>
      <sz val="10"/>
      <color theme="1"/>
      <name val="Osaka"/>
      <family val="2"/>
      <charset val="128"/>
    </font>
    <font>
      <sz val="6"/>
      <name val="HiraginoSans-W3"/>
      <family val="2"/>
      <charset val="128"/>
    </font>
    <font>
      <sz val="6"/>
      <name val="Osaka"/>
      <family val="2"/>
      <charset val="128"/>
    </font>
    <font>
      <sz val="11"/>
      <color theme="1"/>
      <name val="游ゴシック"/>
      <family val="3"/>
      <charset val="128"/>
      <scheme val="minor"/>
    </font>
    <font>
      <b/>
      <sz val="8"/>
      <name val="ヒラギノ角ゴシック W3"/>
      <family val="2"/>
      <charset val="128"/>
    </font>
    <font>
      <b/>
      <sz val="9"/>
      <name val="ヒラギノ明朝 ProN W3"/>
      <family val="1"/>
      <charset val="128"/>
    </font>
    <font>
      <b/>
      <sz val="8"/>
      <name val="ヒラギノ明朝 ProN W3"/>
      <family val="1"/>
      <charset val="128"/>
    </font>
    <font>
      <sz val="8"/>
      <name val="ヒラギノ明朝 ProN W3"/>
      <family val="1"/>
      <charset val="128"/>
    </font>
    <font>
      <sz val="6"/>
      <name val="ヒラギノ明朝 ProN W3"/>
      <family val="1"/>
      <charset val="128"/>
    </font>
    <font>
      <sz val="8"/>
      <color theme="1"/>
      <name val="ヒラギノ明朝 ProN 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5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/>
    <xf numFmtId="0" fontId="8" fillId="0" borderId="0" xfId="0" applyFont="1" applyAlignment="1">
      <alignment horizontal="center"/>
    </xf>
    <xf numFmtId="176" fontId="7" fillId="0" borderId="9" xfId="0" applyNumberFormat="1" applyFont="1" applyBorder="1" applyAlignment="1"/>
    <xf numFmtId="2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181" fontId="8" fillId="0" borderId="0" xfId="0" applyNumberFormat="1" applyFont="1" applyAlignment="1">
      <alignment horizontal="center"/>
    </xf>
    <xf numFmtId="183" fontId="8" fillId="0" borderId="6" xfId="0" applyNumberFormat="1" applyFont="1" applyBorder="1" applyAlignment="1"/>
    <xf numFmtId="176" fontId="8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center"/>
    </xf>
    <xf numFmtId="180" fontId="8" fillId="0" borderId="0" xfId="0" applyNumberFormat="1" applyFont="1" applyAlignment="1"/>
    <xf numFmtId="0" fontId="6" fillId="0" borderId="0" xfId="0" applyFont="1" applyAlignment="1"/>
    <xf numFmtId="178" fontId="8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80" fontId="8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  <xf numFmtId="186" fontId="8" fillId="0" borderId="1" xfId="0" applyNumberFormat="1" applyFont="1" applyBorder="1" applyAlignment="1">
      <alignment horizontal="center"/>
    </xf>
    <xf numFmtId="185" fontId="8" fillId="0" borderId="1" xfId="0" applyNumberFormat="1" applyFont="1" applyBorder="1" applyAlignment="1">
      <alignment horizontal="center"/>
    </xf>
    <xf numFmtId="184" fontId="8" fillId="0" borderId="1" xfId="0" applyNumberFormat="1" applyFont="1" applyBorder="1" applyAlignment="1">
      <alignment horizontal="center"/>
    </xf>
    <xf numFmtId="182" fontId="8" fillId="0" borderId="2" xfId="0" applyNumberFormat="1" applyFont="1" applyBorder="1" applyAlignment="1">
      <alignment horizontal="center" vertical="center"/>
    </xf>
    <xf numFmtId="182" fontId="8" fillId="0" borderId="3" xfId="0" applyNumberFormat="1" applyFont="1" applyBorder="1" applyAlignment="1">
      <alignment horizontal="center" vertical="center"/>
    </xf>
    <xf numFmtId="182" fontId="8" fillId="0" borderId="4" xfId="0" applyNumberFormat="1" applyFont="1" applyBorder="1" applyAlignment="1">
      <alignment horizontal="center" vertical="center"/>
    </xf>
    <xf numFmtId="181" fontId="8" fillId="0" borderId="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Alignment="1">
      <alignment horizontal="center"/>
    </xf>
    <xf numFmtId="176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>
      <alignment horizontal="center"/>
    </xf>
    <xf numFmtId="181" fontId="8" fillId="0" borderId="1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178" fontId="8" fillId="2" borderId="5" xfId="0" applyNumberFormat="1" applyFont="1" applyFill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center" vertical="center" wrapText="1"/>
    </xf>
    <xf numFmtId="178" fontId="8" fillId="2" borderId="8" xfId="0" applyNumberFormat="1" applyFont="1" applyFill="1" applyBorder="1" applyAlignment="1">
      <alignment horizontal="center" vertical="center" wrapText="1"/>
    </xf>
    <xf numFmtId="178" fontId="8" fillId="2" borderId="9" xfId="0" applyNumberFormat="1" applyFont="1" applyFill="1" applyBorder="1" applyAlignment="1">
      <alignment horizontal="center" vertical="center" wrapText="1"/>
    </xf>
    <xf numFmtId="178" fontId="8" fillId="2" borderId="10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" fontId="8" fillId="0" borderId="2" xfId="0" applyNumberFormat="1" applyFont="1" applyBorder="1" applyAlignment="1" applyProtection="1">
      <alignment horizontal="center"/>
      <protection locked="0"/>
    </xf>
    <xf numFmtId="2" fontId="8" fillId="0" borderId="3" xfId="0" applyNumberFormat="1" applyFont="1" applyBorder="1" applyAlignment="1" applyProtection="1">
      <alignment horizontal="center"/>
      <protection locked="0"/>
    </xf>
    <xf numFmtId="2" fontId="8" fillId="0" borderId="4" xfId="0" applyNumberFormat="1" applyFont="1" applyBorder="1" applyAlignment="1" applyProtection="1">
      <alignment horizontal="center"/>
      <protection locked="0"/>
    </xf>
    <xf numFmtId="177" fontId="8" fillId="0" borderId="1" xfId="0" applyNumberFormat="1" applyFont="1" applyBorder="1" applyAlignment="1">
      <alignment horizontal="center"/>
    </xf>
    <xf numFmtId="181" fontId="8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horizontal="center"/>
    </xf>
    <xf numFmtId="182" fontId="8" fillId="0" borderId="2" xfId="0" applyNumberFormat="1" applyFont="1" applyBorder="1" applyAlignment="1">
      <alignment horizontal="center"/>
    </xf>
    <xf numFmtId="182" fontId="8" fillId="0" borderId="3" xfId="0" applyNumberFormat="1" applyFont="1" applyBorder="1" applyAlignment="1">
      <alignment horizontal="center"/>
    </xf>
    <xf numFmtId="182" fontId="8" fillId="0" borderId="4" xfId="0" applyNumberFormat="1" applyFont="1" applyBorder="1" applyAlignment="1">
      <alignment horizontal="center"/>
    </xf>
    <xf numFmtId="182" fontId="8" fillId="0" borderId="1" xfId="0" applyNumberFormat="1" applyFont="1" applyBorder="1" applyAlignment="1">
      <alignment horizontal="center"/>
    </xf>
    <xf numFmtId="179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 applyProtection="1">
      <alignment horizontal="center"/>
      <protection locked="0"/>
    </xf>
  </cellXfs>
  <cellStyles count="3">
    <cellStyle name="標準" xfId="0" builtinId="0"/>
    <cellStyle name="標準 2" xfId="2" xr:uid="{A087A9F7-0FD9-8B49-9C94-6DFBCC52E25B}"/>
    <cellStyle name="標準 4" xfId="1" xr:uid="{83F3ECEC-D59D-144A-9B8D-D9B867C50810}"/>
  </cellStyles>
  <dxfs count="6"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EB4-1F71-2245-9AC4-08164A56DD2B}">
  <dimension ref="A1:AJ38"/>
  <sheetViews>
    <sheetView tabSelected="1" topLeftCell="A5" zoomScale="150" zoomScaleNormal="150" workbookViewId="0">
      <selection activeCell="Y14" sqref="Y14"/>
    </sheetView>
  </sheetViews>
  <sheetFormatPr baseColWidth="10" defaultColWidth="17.796875" defaultRowHeight="12"/>
  <cols>
    <col min="1" max="21" width="2.59765625" style="3" customWidth="1"/>
    <col min="22" max="22" width="5.796875" style="3" customWidth="1"/>
    <col min="23" max="24" width="2.59765625" style="3" customWidth="1"/>
    <col min="25" max="25" width="7.3984375" style="3" customWidth="1"/>
    <col min="26" max="37" width="2.59765625" style="3" customWidth="1"/>
    <col min="38" max="88" width="8" style="3" customWidth="1"/>
    <col min="89" max="16384" width="17.796875" style="3"/>
  </cols>
  <sheetData>
    <row r="1" spans="1:36" ht="15">
      <c r="A1" s="17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/>
      <c r="B3" s="1" t="s">
        <v>6</v>
      </c>
      <c r="C3" s="2"/>
      <c r="D3" s="2"/>
      <c r="E3" s="2"/>
      <c r="F3" s="2"/>
      <c r="G3" s="2"/>
      <c r="H3" s="2" t="s">
        <v>59</v>
      </c>
      <c r="I3" s="2"/>
      <c r="J3" s="2"/>
      <c r="K3" s="19">
        <v>1</v>
      </c>
      <c r="L3" s="19"/>
      <c r="M3" s="18" t="s">
        <v>60</v>
      </c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5"/>
      <c r="Q4" s="5"/>
      <c r="R4" s="5"/>
      <c r="S4" s="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2" customHeight="1">
      <c r="A5" s="6"/>
      <c r="B5" s="6"/>
      <c r="C5" s="51"/>
      <c r="D5" s="52"/>
      <c r="E5" s="45" t="s">
        <v>0</v>
      </c>
      <c r="F5" s="46"/>
      <c r="G5" s="47"/>
      <c r="H5" s="45" t="s">
        <v>7</v>
      </c>
      <c r="I5" s="46"/>
      <c r="J5" s="47"/>
      <c r="K5" s="58" t="s">
        <v>1</v>
      </c>
      <c r="L5" s="59"/>
      <c r="M5" s="60"/>
      <c r="N5" s="58" t="s">
        <v>2</v>
      </c>
      <c r="O5" s="59"/>
      <c r="P5" s="60"/>
      <c r="Q5" s="45" t="s">
        <v>3</v>
      </c>
      <c r="R5" s="46"/>
      <c r="S5" s="47"/>
      <c r="T5" s="45" t="s">
        <v>8</v>
      </c>
      <c r="U5" s="46"/>
      <c r="V5" s="47"/>
      <c r="W5" s="45" t="s">
        <v>9</v>
      </c>
      <c r="X5" s="46"/>
      <c r="Y5" s="46"/>
      <c r="Z5" s="47"/>
      <c r="AA5" s="45" t="s">
        <v>10</v>
      </c>
      <c r="AB5" s="46"/>
      <c r="AC5" s="46"/>
      <c r="AD5" s="47"/>
      <c r="AE5" s="45" t="s">
        <v>11</v>
      </c>
      <c r="AF5" s="46"/>
      <c r="AG5" s="46"/>
      <c r="AH5" s="47"/>
      <c r="AI5" s="51" t="s">
        <v>4</v>
      </c>
      <c r="AJ5" s="52"/>
    </row>
    <row r="6" spans="1:36">
      <c r="A6" s="6"/>
      <c r="B6" s="6"/>
      <c r="C6" s="53"/>
      <c r="D6" s="54"/>
      <c r="E6" s="48"/>
      <c r="F6" s="49"/>
      <c r="G6" s="50"/>
      <c r="H6" s="48"/>
      <c r="I6" s="49"/>
      <c r="J6" s="50"/>
      <c r="K6" s="61"/>
      <c r="L6" s="62"/>
      <c r="M6" s="63"/>
      <c r="N6" s="61"/>
      <c r="O6" s="62"/>
      <c r="P6" s="63"/>
      <c r="Q6" s="48"/>
      <c r="R6" s="49"/>
      <c r="S6" s="50"/>
      <c r="T6" s="48"/>
      <c r="U6" s="49"/>
      <c r="V6" s="50"/>
      <c r="W6" s="48"/>
      <c r="X6" s="49"/>
      <c r="Y6" s="49"/>
      <c r="Z6" s="50"/>
      <c r="AA6" s="48"/>
      <c r="AB6" s="49"/>
      <c r="AC6" s="49"/>
      <c r="AD6" s="50"/>
      <c r="AE6" s="48"/>
      <c r="AF6" s="49"/>
      <c r="AG6" s="49"/>
      <c r="AH6" s="50"/>
      <c r="AI6" s="53"/>
      <c r="AJ6" s="54"/>
    </row>
    <row r="7" spans="1:36">
      <c r="A7" s="2"/>
      <c r="B7" s="2"/>
      <c r="C7" s="25">
        <v>1</v>
      </c>
      <c r="D7" s="25"/>
      <c r="E7" s="25">
        <v>200</v>
      </c>
      <c r="F7" s="25"/>
      <c r="G7" s="25"/>
      <c r="H7" s="24">
        <v>100</v>
      </c>
      <c r="I7" s="24"/>
      <c r="J7" s="24"/>
      <c r="K7" s="43">
        <v>200</v>
      </c>
      <c r="L7" s="43"/>
      <c r="M7" s="43"/>
      <c r="N7" s="24">
        <v>14</v>
      </c>
      <c r="O7" s="24"/>
      <c r="P7" s="24"/>
      <c r="Q7" s="43">
        <v>235</v>
      </c>
      <c r="R7" s="43"/>
      <c r="S7" s="43"/>
      <c r="T7" s="55">
        <f>MIN(Q7,(0.8+2.5*(H7-K3)/(E7/2))*Q7)</f>
        <v>235</v>
      </c>
      <c r="U7" s="55"/>
      <c r="V7" s="55"/>
      <c r="W7" s="43">
        <f>PI()*((E7-2)^2-(E7-H7*2)^2)/4</f>
        <v>30790.749597833561</v>
      </c>
      <c r="X7" s="43"/>
      <c r="Y7" s="43"/>
      <c r="Z7" s="43"/>
      <c r="AA7" s="56">
        <v>205000</v>
      </c>
      <c r="AB7" s="56"/>
      <c r="AC7" s="56"/>
      <c r="AD7" s="56"/>
      <c r="AE7" s="57">
        <f>PI()*((E7-2)^4-(E7-2*H7)^4)/64/10^(12)</f>
        <v>7.5445034202091673E-5</v>
      </c>
      <c r="AF7" s="57"/>
      <c r="AG7" s="57"/>
      <c r="AH7" s="57"/>
      <c r="AI7" s="25">
        <v>1</v>
      </c>
      <c r="AJ7" s="25"/>
    </row>
    <row r="8" spans="1:3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/>
      <c r="Q8" s="5"/>
      <c r="R8" s="5"/>
      <c r="S8" s="5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2"/>
      <c r="B9" s="1" t="s">
        <v>12</v>
      </c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5"/>
      <c r="P9" s="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2"/>
      <c r="AG10" s="2"/>
      <c r="AH10" s="2"/>
      <c r="AI10" s="2"/>
      <c r="AJ10" s="2"/>
    </row>
    <row r="11" spans="1:36" ht="23" customHeight="1">
      <c r="A11" s="6"/>
      <c r="B11" s="6"/>
      <c r="C11" s="23"/>
      <c r="D11" s="23"/>
      <c r="E11" s="32" t="s">
        <v>13</v>
      </c>
      <c r="F11" s="23"/>
      <c r="G11" s="23"/>
      <c r="H11" s="32" t="s">
        <v>14</v>
      </c>
      <c r="I11" s="23"/>
      <c r="J11" s="23"/>
      <c r="K11" s="32" t="s">
        <v>15</v>
      </c>
      <c r="L11" s="32"/>
      <c r="M11" s="32"/>
      <c r="N11" s="32" t="s">
        <v>16</v>
      </c>
      <c r="O11" s="32"/>
      <c r="P11" s="32"/>
      <c r="Q11" s="32"/>
      <c r="R11" s="66" t="s">
        <v>17</v>
      </c>
      <c r="S11" s="67"/>
      <c r="T11" s="67"/>
      <c r="U11" s="32" t="s">
        <v>18</v>
      </c>
      <c r="V11" s="23"/>
      <c r="W11" s="23"/>
      <c r="X11" s="32" t="s">
        <v>19</v>
      </c>
      <c r="Y11" s="23"/>
      <c r="Z11" s="23"/>
      <c r="AA11" s="32" t="s">
        <v>20</v>
      </c>
      <c r="AB11" s="23"/>
      <c r="AC11" s="23"/>
      <c r="AD11" s="23"/>
      <c r="AE11" s="32" t="s">
        <v>21</v>
      </c>
      <c r="AF11" s="32"/>
      <c r="AG11" s="32"/>
      <c r="AH11" s="23" t="s">
        <v>22</v>
      </c>
      <c r="AI11" s="23"/>
      <c r="AJ11" s="23"/>
    </row>
    <row r="12" spans="1:36">
      <c r="A12" s="2"/>
      <c r="B12" s="2"/>
      <c r="C12" s="25">
        <f>C7</f>
        <v>1</v>
      </c>
      <c r="D12" s="25"/>
      <c r="E12" s="42">
        <v>3</v>
      </c>
      <c r="F12" s="42"/>
      <c r="G12" s="42"/>
      <c r="H12" s="65">
        <v>80</v>
      </c>
      <c r="I12" s="65"/>
      <c r="J12" s="65"/>
      <c r="K12" s="25">
        <f>700*E12</f>
        <v>2100</v>
      </c>
      <c r="L12" s="25"/>
      <c r="M12" s="25"/>
      <c r="N12" s="36">
        <f>H12*K12*(E7/10)^(-3/4)</f>
        <v>17763.837225801475</v>
      </c>
      <c r="O12" s="36"/>
      <c r="P12" s="36"/>
      <c r="Q12" s="36"/>
      <c r="R12" s="64">
        <v>1</v>
      </c>
      <c r="S12" s="64"/>
      <c r="T12" s="64"/>
      <c r="U12" s="82">
        <v>50.628</v>
      </c>
      <c r="V12" s="82"/>
      <c r="W12" s="82"/>
      <c r="X12" s="34">
        <f>(U12/10)^(-1/2)</f>
        <v>0.44443127630541235</v>
      </c>
      <c r="Y12" s="34"/>
      <c r="Z12" s="34"/>
      <c r="AA12" s="43">
        <f>N12*R12*X12</f>
        <v>7894.8048503445452</v>
      </c>
      <c r="AB12" s="43"/>
      <c r="AC12" s="43"/>
      <c r="AD12" s="43"/>
      <c r="AE12" s="44">
        <f>((AA12*E7/1000)/(4*AA7*AE7*1000))^(1/4)</f>
        <v>0.39969776581467231</v>
      </c>
      <c r="AF12" s="44"/>
      <c r="AG12" s="44"/>
      <c r="AH12" s="33">
        <f>AE12*N7</f>
        <v>5.5957687214054124</v>
      </c>
      <c r="AI12" s="33"/>
      <c r="AJ12" s="33"/>
    </row>
    <row r="13" spans="1:3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2"/>
      <c r="B14" s="1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2"/>
      <c r="B16" s="4"/>
      <c r="C16" s="2" t="s">
        <v>56</v>
      </c>
      <c r="D16" s="2"/>
      <c r="E16" s="2"/>
      <c r="F16" s="2"/>
      <c r="G16" s="2"/>
      <c r="H16" s="20"/>
      <c r="I16" s="20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2"/>
      <c r="B17" s="4"/>
      <c r="C17" s="2" t="s">
        <v>57</v>
      </c>
      <c r="D17" s="2"/>
      <c r="E17" s="2"/>
      <c r="F17" s="2"/>
      <c r="G17" s="2"/>
      <c r="H17" s="20"/>
      <c r="I17" s="20"/>
      <c r="J17" s="2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2"/>
      <c r="B18" s="4"/>
      <c r="C18" s="2" t="s">
        <v>58</v>
      </c>
      <c r="D18" s="2"/>
      <c r="E18" s="2"/>
      <c r="F18" s="2"/>
      <c r="G18" s="2"/>
      <c r="H18" s="21">
        <v>0.1</v>
      </c>
      <c r="I18" s="21"/>
      <c r="J18" s="2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2"/>
      <c r="B20" s="2"/>
      <c r="C20" s="2" t="s">
        <v>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7"/>
      <c r="Q20" s="7"/>
      <c r="R20" s="7"/>
      <c r="S20" s="7"/>
      <c r="T20" s="7"/>
      <c r="U20" s="7"/>
      <c r="V20" s="8"/>
      <c r="W20" s="7"/>
      <c r="X20" s="7"/>
      <c r="Y20" s="7"/>
      <c r="Z20" s="7"/>
      <c r="AA20" s="7"/>
      <c r="AB20" s="41">
        <v>200</v>
      </c>
      <c r="AC20" s="41"/>
      <c r="AD20" s="41"/>
      <c r="AE20" s="41"/>
      <c r="AF20" s="9"/>
      <c r="AG20" s="7"/>
      <c r="AH20" s="7"/>
      <c r="AI20" s="2"/>
      <c r="AJ20" s="2"/>
    </row>
    <row r="21" spans="1:36" ht="23" customHeight="1">
      <c r="A21" s="6"/>
      <c r="B21" s="6"/>
      <c r="C21" s="23"/>
      <c r="D21" s="23"/>
      <c r="E21" s="32" t="s">
        <v>0</v>
      </c>
      <c r="F21" s="23"/>
      <c r="G21" s="23"/>
      <c r="H21" s="23" t="s">
        <v>25</v>
      </c>
      <c r="I21" s="23"/>
      <c r="J21" s="23"/>
      <c r="K21" s="23"/>
      <c r="L21" s="73" t="s">
        <v>26</v>
      </c>
      <c r="M21" s="74"/>
      <c r="N21" s="74"/>
      <c r="O21" s="75"/>
      <c r="P21" s="32" t="s">
        <v>27</v>
      </c>
      <c r="Q21" s="23"/>
      <c r="R21" s="23"/>
      <c r="S21" s="23"/>
      <c r="T21" s="32" t="s">
        <v>28</v>
      </c>
      <c r="U21" s="23"/>
      <c r="V21" s="23"/>
      <c r="W21" s="23"/>
      <c r="X21" s="32" t="s">
        <v>29</v>
      </c>
      <c r="Y21" s="23"/>
      <c r="Z21" s="23"/>
      <c r="AA21" s="23"/>
      <c r="AB21" s="32" t="s">
        <v>30</v>
      </c>
      <c r="AC21" s="23"/>
      <c r="AD21" s="23"/>
      <c r="AE21" s="23"/>
      <c r="AF21" s="32" t="s">
        <v>31</v>
      </c>
      <c r="AG21" s="23"/>
      <c r="AH21" s="23"/>
      <c r="AI21" s="23"/>
      <c r="AJ21" s="6"/>
    </row>
    <row r="22" spans="1:36">
      <c r="A22" s="2"/>
      <c r="B22" s="2"/>
      <c r="C22" s="25">
        <f>C7</f>
        <v>1</v>
      </c>
      <c r="D22" s="25"/>
      <c r="E22" s="25">
        <f>E7</f>
        <v>200</v>
      </c>
      <c r="F22" s="25"/>
      <c r="G22" s="25"/>
      <c r="H22" s="76">
        <v>1</v>
      </c>
      <c r="I22" s="76"/>
      <c r="J22" s="76"/>
      <c r="K22" s="76"/>
      <c r="L22" s="77">
        <f>AE7</f>
        <v>7.5445034202091673E-5</v>
      </c>
      <c r="M22" s="78"/>
      <c r="N22" s="78"/>
      <c r="O22" s="79"/>
      <c r="P22" s="80">
        <f>H22*L22*AE12^3</f>
        <v>4.8175454638729364E-6</v>
      </c>
      <c r="Q22" s="25"/>
      <c r="R22" s="25"/>
      <c r="S22" s="25"/>
      <c r="T22" s="37">
        <f>SUM(P22:S22)</f>
        <v>4.8175454638729364E-6</v>
      </c>
      <c r="U22" s="38"/>
      <c r="V22" s="38"/>
      <c r="W22" s="39"/>
      <c r="X22" s="40">
        <f>P22/T22</f>
        <v>1</v>
      </c>
      <c r="Y22" s="40"/>
      <c r="Z22" s="40"/>
      <c r="AA22" s="40"/>
      <c r="AB22" s="24">
        <f>$AB$20*X22</f>
        <v>200</v>
      </c>
      <c r="AC22" s="24"/>
      <c r="AD22" s="24"/>
      <c r="AE22" s="24"/>
      <c r="AF22" s="24">
        <f>AB22/H22</f>
        <v>200</v>
      </c>
      <c r="AG22" s="24"/>
      <c r="AH22" s="24"/>
      <c r="AI22" s="24"/>
      <c r="AJ22" s="2"/>
    </row>
    <row r="23" spans="1:3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2"/>
      <c r="B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23" customHeight="1">
      <c r="A26" s="6"/>
      <c r="B26" s="6"/>
      <c r="C26" s="23"/>
      <c r="D26" s="23"/>
      <c r="E26" s="73" t="s">
        <v>33</v>
      </c>
      <c r="F26" s="74"/>
      <c r="G26" s="75"/>
      <c r="H26" s="32" t="s">
        <v>34</v>
      </c>
      <c r="I26" s="23"/>
      <c r="J26" s="23"/>
      <c r="K26" s="32" t="s">
        <v>35</v>
      </c>
      <c r="L26" s="23"/>
      <c r="M26" s="23"/>
      <c r="N26" s="32" t="s">
        <v>36</v>
      </c>
      <c r="O26" s="23"/>
      <c r="P26" s="23"/>
      <c r="Q26" s="32" t="s">
        <v>37</v>
      </c>
      <c r="R26" s="23"/>
      <c r="S26" s="23"/>
      <c r="T26" s="32" t="s">
        <v>38</v>
      </c>
      <c r="U26" s="23"/>
      <c r="V26" s="23"/>
      <c r="W26" s="32" t="s">
        <v>39</v>
      </c>
      <c r="X26" s="23"/>
      <c r="Y26" s="23"/>
      <c r="Z26" s="32" t="s">
        <v>40</v>
      </c>
      <c r="AA26" s="23"/>
      <c r="AB26" s="23"/>
      <c r="AC26" s="23"/>
      <c r="AD26" s="23"/>
      <c r="AE26" s="32" t="s">
        <v>41</v>
      </c>
      <c r="AF26" s="23"/>
      <c r="AG26" s="23"/>
      <c r="AH26" s="23"/>
      <c r="AI26" s="23"/>
      <c r="AJ26" s="6"/>
    </row>
    <row r="27" spans="1:36">
      <c r="A27" s="2"/>
      <c r="B27" s="2"/>
      <c r="C27" s="25">
        <f>C7</f>
        <v>1</v>
      </c>
      <c r="D27" s="25"/>
      <c r="E27" s="68">
        <v>1</v>
      </c>
      <c r="F27" s="69"/>
      <c r="G27" s="70"/>
      <c r="H27" s="71">
        <f>2-E27</f>
        <v>1</v>
      </c>
      <c r="I27" s="25"/>
      <c r="J27" s="25"/>
      <c r="K27" s="33">
        <f>E27</f>
        <v>1</v>
      </c>
      <c r="L27" s="25"/>
      <c r="M27" s="25"/>
      <c r="N27" s="72">
        <f>IF(E27-1=0,0.208,EXP(-ATAN(1/(1-E27)))*SQRT((1-E27)^2+1))</f>
        <v>0.20799999999999999</v>
      </c>
      <c r="O27" s="72"/>
      <c r="P27" s="72"/>
      <c r="Q27" s="72">
        <f>IF(E27=1,1.57,ATAN(1/(1-E27)))</f>
        <v>1.57</v>
      </c>
      <c r="R27" s="72"/>
      <c r="S27" s="72"/>
      <c r="T27" s="35">
        <f>AF22*H27/(4*(AA7*10^3)*(AE12^3)*AE7)*10^3</f>
        <v>50.627947541632828</v>
      </c>
      <c r="U27" s="35"/>
      <c r="V27" s="35"/>
      <c r="W27" s="36">
        <f>AF22*K27/(2*AE12)</f>
        <v>250.18903920110216</v>
      </c>
      <c r="X27" s="36"/>
      <c r="Y27" s="36"/>
      <c r="Z27" s="34">
        <f>AF22*N27/2/AE12</f>
        <v>52.039320153829252</v>
      </c>
      <c r="AA27" s="34"/>
      <c r="AB27" s="34"/>
      <c r="AC27" s="34"/>
      <c r="AD27" s="34"/>
      <c r="AE27" s="33">
        <f>PI()/AE12/2</f>
        <v>3.9299602378143565</v>
      </c>
      <c r="AF27" s="33"/>
      <c r="AG27" s="33"/>
      <c r="AH27" s="33"/>
      <c r="AI27" s="33"/>
      <c r="AJ27" s="2"/>
    </row>
    <row r="28" spans="1:36">
      <c r="A28" s="2"/>
      <c r="B28" s="2"/>
      <c r="C28" s="2"/>
      <c r="D28" s="2"/>
      <c r="E28" s="10"/>
      <c r="F28" s="10"/>
      <c r="G28" s="10"/>
      <c r="H28" s="11"/>
      <c r="I28" s="8"/>
      <c r="J28" s="8"/>
      <c r="K28" s="10"/>
      <c r="L28" s="8"/>
      <c r="M28" s="8"/>
      <c r="N28" s="12"/>
      <c r="O28" s="12"/>
      <c r="P28" s="12"/>
      <c r="Q28" s="12"/>
      <c r="R28" s="12"/>
      <c r="S28" s="12"/>
      <c r="U28" s="13"/>
      <c r="V28" s="13"/>
      <c r="W28" s="13"/>
      <c r="X28" s="14"/>
      <c r="Y28" s="15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"/>
    </row>
    <row r="29" spans="1:36">
      <c r="A29" s="2"/>
      <c r="B29" s="1" t="s">
        <v>42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B31" s="2"/>
      <c r="C31" s="2" t="s">
        <v>43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6">
      <c r="A32" s="2"/>
      <c r="B32" s="2"/>
      <c r="C32" s="29"/>
      <c r="D32" s="29"/>
      <c r="E32" s="22" t="s">
        <v>44</v>
      </c>
      <c r="F32" s="22"/>
      <c r="G32" s="22"/>
      <c r="H32" s="22"/>
      <c r="I32" s="22" t="s">
        <v>45</v>
      </c>
      <c r="J32" s="22"/>
      <c r="K32" s="22"/>
      <c r="L32" s="22"/>
      <c r="M32" s="22" t="s">
        <v>46</v>
      </c>
      <c r="N32" s="22"/>
      <c r="O32" s="22"/>
      <c r="P32" s="22"/>
      <c r="Q32" s="22" t="s">
        <v>47</v>
      </c>
      <c r="R32" s="22"/>
      <c r="S32" s="22"/>
      <c r="T32" s="22"/>
      <c r="U32" s="23" t="s">
        <v>48</v>
      </c>
      <c r="V32" s="23"/>
      <c r="W32" s="23"/>
      <c r="X32" s="23"/>
      <c r="Y32" s="32" t="s">
        <v>49</v>
      </c>
      <c r="Z32" s="23"/>
      <c r="AA32" s="23"/>
      <c r="AB32" s="23" t="s">
        <v>50</v>
      </c>
      <c r="AC32" s="23"/>
      <c r="AD32" s="23"/>
      <c r="AE32" s="23" t="s">
        <v>51</v>
      </c>
      <c r="AF32" s="23"/>
      <c r="AG32" s="6"/>
      <c r="AH32" s="2"/>
      <c r="AI32" s="2"/>
      <c r="AJ32" s="2"/>
    </row>
    <row r="33" spans="1:36">
      <c r="A33" s="2"/>
      <c r="B33" s="2"/>
      <c r="C33" s="29"/>
      <c r="D33" s="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6"/>
      <c r="AH33" s="2"/>
      <c r="AI33" s="2"/>
      <c r="AJ33" s="2"/>
    </row>
    <row r="34" spans="1:36">
      <c r="A34" s="2"/>
      <c r="B34" s="2"/>
      <c r="C34" s="25">
        <f>C7</f>
        <v>1</v>
      </c>
      <c r="D34" s="25"/>
      <c r="E34" s="24">
        <v>0</v>
      </c>
      <c r="F34" s="24"/>
      <c r="G34" s="24"/>
      <c r="H34" s="24"/>
      <c r="I34" s="33">
        <f>E34*10^3/W7</f>
        <v>0</v>
      </c>
      <c r="J34" s="33"/>
      <c r="K34" s="33"/>
      <c r="L34" s="33"/>
      <c r="M34" s="24">
        <f>MAX(W27,Z27)</f>
        <v>250.18903920110216</v>
      </c>
      <c r="N34" s="24"/>
      <c r="O34" s="24"/>
      <c r="P34" s="24"/>
      <c r="Q34" s="55">
        <f>((E7-2)/2)*(M34*10^6)/(AE7*10^12)</f>
        <v>328.30146003462761</v>
      </c>
      <c r="R34" s="55"/>
      <c r="S34" s="55"/>
      <c r="T34" s="55"/>
      <c r="U34" s="81">
        <f>I34+Q34</f>
        <v>328.30146003462761</v>
      </c>
      <c r="V34" s="81"/>
      <c r="W34" s="81"/>
      <c r="X34" s="81"/>
      <c r="Y34" s="26">
        <f>T7</f>
        <v>235</v>
      </c>
      <c r="Z34" s="26"/>
      <c r="AA34" s="26"/>
      <c r="AB34" s="27">
        <f>U34/Y34</f>
        <v>1.3970274895090538</v>
      </c>
      <c r="AC34" s="27"/>
      <c r="AD34" s="27"/>
      <c r="AE34" s="28" t="str">
        <f>IF(AB34&lt;1,"OK","NG")</f>
        <v>NG</v>
      </c>
      <c r="AF34" s="28"/>
      <c r="AG34" s="6"/>
      <c r="AH34" s="2"/>
      <c r="AI34" s="2"/>
      <c r="AJ34" s="2"/>
    </row>
    <row r="35" spans="1:36">
      <c r="A35" s="2"/>
      <c r="B35" s="2"/>
      <c r="C35" s="2" t="s">
        <v>52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6"/>
      <c r="Y35" s="16"/>
      <c r="Z35" s="16"/>
      <c r="AA35" s="2"/>
      <c r="AB35" s="2"/>
      <c r="AC35" s="2"/>
      <c r="AD35" s="2"/>
      <c r="AE35" s="2"/>
      <c r="AF35" s="2"/>
      <c r="AG35" s="2"/>
      <c r="AH35" s="2"/>
      <c r="AI35" s="2"/>
    </row>
    <row r="36" spans="1:36">
      <c r="A36" s="2"/>
      <c r="B36" s="2"/>
      <c r="C36" s="29"/>
      <c r="D36" s="29"/>
      <c r="E36" s="22" t="s">
        <v>53</v>
      </c>
      <c r="F36" s="22"/>
      <c r="G36" s="22"/>
      <c r="H36" s="22"/>
      <c r="I36" s="22" t="s">
        <v>54</v>
      </c>
      <c r="J36" s="22"/>
      <c r="K36" s="22"/>
      <c r="L36" s="22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 t="s">
        <v>55</v>
      </c>
      <c r="Z36" s="31"/>
      <c r="AA36" s="31"/>
      <c r="AB36" s="23" t="s">
        <v>50</v>
      </c>
      <c r="AC36" s="23"/>
      <c r="AD36" s="23"/>
      <c r="AE36" s="23" t="s">
        <v>51</v>
      </c>
      <c r="AF36" s="23"/>
      <c r="AG36" s="2"/>
      <c r="AH36" s="2"/>
      <c r="AI36" s="2"/>
      <c r="AJ36" s="2"/>
    </row>
    <row r="37" spans="1:36">
      <c r="A37" s="2"/>
      <c r="B37" s="2"/>
      <c r="C37" s="29"/>
      <c r="D37" s="29"/>
      <c r="E37" s="22"/>
      <c r="F37" s="22"/>
      <c r="G37" s="22"/>
      <c r="H37" s="22"/>
      <c r="I37" s="22"/>
      <c r="J37" s="22"/>
      <c r="K37" s="22"/>
      <c r="L37" s="22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31"/>
      <c r="Z37" s="31"/>
      <c r="AA37" s="31"/>
      <c r="AB37" s="23"/>
      <c r="AC37" s="23"/>
      <c r="AD37" s="23"/>
      <c r="AE37" s="23"/>
      <c r="AF37" s="23"/>
      <c r="AG37" s="2"/>
      <c r="AH37" s="2"/>
      <c r="AI37" s="2"/>
      <c r="AJ37" s="2"/>
    </row>
    <row r="38" spans="1:36">
      <c r="A38" s="2"/>
      <c r="B38" s="2"/>
      <c r="C38" s="25">
        <f>C7</f>
        <v>1</v>
      </c>
      <c r="D38" s="25"/>
      <c r="E38" s="24">
        <f>AF22</f>
        <v>200</v>
      </c>
      <c r="F38" s="24"/>
      <c r="G38" s="24"/>
      <c r="H38" s="24"/>
      <c r="I38" s="24">
        <f>2*E38*10^3/W7</f>
        <v>12.990914648864022</v>
      </c>
      <c r="J38" s="24"/>
      <c r="K38" s="24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6">
        <f>Q7/SQRT(3)</f>
        <v>135.67731325956206</v>
      </c>
      <c r="Z38" s="26"/>
      <c r="AA38" s="26"/>
      <c r="AB38" s="27">
        <f>I38/Y38</f>
        <v>9.5748613653716119E-2</v>
      </c>
      <c r="AC38" s="27"/>
      <c r="AD38" s="27"/>
      <c r="AE38" s="28" t="str">
        <f>IF(AB38&lt;1,"OK","NG")</f>
        <v>OK</v>
      </c>
      <c r="AF38" s="28"/>
      <c r="AG38" s="2"/>
      <c r="AH38" s="2"/>
      <c r="AI38" s="2"/>
      <c r="AJ38" s="2"/>
    </row>
  </sheetData>
  <mergeCells count="119">
    <mergeCell ref="C38:D38"/>
    <mergeCell ref="C36:D37"/>
    <mergeCell ref="C34:D34"/>
    <mergeCell ref="C32:D33"/>
    <mergeCell ref="I32:L33"/>
    <mergeCell ref="E22:G22"/>
    <mergeCell ref="H22:K22"/>
    <mergeCell ref="L22:O22"/>
    <mergeCell ref="P22:S22"/>
    <mergeCell ref="M34:P34"/>
    <mergeCell ref="Q34:T34"/>
    <mergeCell ref="K12:M12"/>
    <mergeCell ref="N12:Q12"/>
    <mergeCell ref="R12:T12"/>
    <mergeCell ref="H11:J11"/>
    <mergeCell ref="K11:M11"/>
    <mergeCell ref="H12:J12"/>
    <mergeCell ref="N11:Q11"/>
    <mergeCell ref="R11:T11"/>
    <mergeCell ref="C27:D27"/>
    <mergeCell ref="C26:D26"/>
    <mergeCell ref="E27:G27"/>
    <mergeCell ref="H27:J27"/>
    <mergeCell ref="K27:M27"/>
    <mergeCell ref="N27:P27"/>
    <mergeCell ref="Q27:S27"/>
    <mergeCell ref="E26:G26"/>
    <mergeCell ref="H26:J26"/>
    <mergeCell ref="K26:M26"/>
    <mergeCell ref="N26:P26"/>
    <mergeCell ref="Q26:S26"/>
    <mergeCell ref="H21:K21"/>
    <mergeCell ref="L21:O21"/>
    <mergeCell ref="P21:S21"/>
    <mergeCell ref="T21:W21"/>
    <mergeCell ref="C7:D7"/>
    <mergeCell ref="C5:D6"/>
    <mergeCell ref="C12:D12"/>
    <mergeCell ref="C11:D11"/>
    <mergeCell ref="C22:D22"/>
    <mergeCell ref="C21:D21"/>
    <mergeCell ref="E5:G6"/>
    <mergeCell ref="E12:G12"/>
    <mergeCell ref="E11:G11"/>
    <mergeCell ref="E21:G21"/>
    <mergeCell ref="T5:V6"/>
    <mergeCell ref="W5:Z6"/>
    <mergeCell ref="AA5:AD6"/>
    <mergeCell ref="AE5:AH6"/>
    <mergeCell ref="AI5:AJ6"/>
    <mergeCell ref="E7:G7"/>
    <mergeCell ref="H7:J7"/>
    <mergeCell ref="K7:M7"/>
    <mergeCell ref="N7:P7"/>
    <mergeCell ref="Q7:S7"/>
    <mergeCell ref="T7:V7"/>
    <mergeCell ref="W7:Z7"/>
    <mergeCell ref="AA7:AD7"/>
    <mergeCell ref="AE7:AH7"/>
    <mergeCell ref="AI7:AJ7"/>
    <mergeCell ref="H5:J6"/>
    <mergeCell ref="K5:M6"/>
    <mergeCell ref="N5:P6"/>
    <mergeCell ref="Q5:S6"/>
    <mergeCell ref="U11:W11"/>
    <mergeCell ref="X11:Z11"/>
    <mergeCell ref="AA11:AD11"/>
    <mergeCell ref="AE11:AG11"/>
    <mergeCell ref="AH11:AJ11"/>
    <mergeCell ref="AB20:AE20"/>
    <mergeCell ref="U12:W12"/>
    <mergeCell ref="X12:Z12"/>
    <mergeCell ref="AA12:AD12"/>
    <mergeCell ref="AE12:AG12"/>
    <mergeCell ref="AH12:AJ12"/>
    <mergeCell ref="X21:AA21"/>
    <mergeCell ref="W26:Y26"/>
    <mergeCell ref="Z26:AD26"/>
    <mergeCell ref="AE26:AI26"/>
    <mergeCell ref="T22:W22"/>
    <mergeCell ref="AF21:AI21"/>
    <mergeCell ref="X22:AA22"/>
    <mergeCell ref="AB22:AE22"/>
    <mergeCell ref="AB21:AE21"/>
    <mergeCell ref="I34:L34"/>
    <mergeCell ref="Y34:AA34"/>
    <mergeCell ref="AB34:AD34"/>
    <mergeCell ref="AE34:AF34"/>
    <mergeCell ref="T26:V26"/>
    <mergeCell ref="Z27:AD27"/>
    <mergeCell ref="AF22:AI22"/>
    <mergeCell ref="AE27:AI27"/>
    <mergeCell ref="T27:V27"/>
    <mergeCell ref="W27:Y27"/>
    <mergeCell ref="U34:X34"/>
    <mergeCell ref="K3:L3"/>
    <mergeCell ref="H16:J16"/>
    <mergeCell ref="H17:J17"/>
    <mergeCell ref="H18:J18"/>
    <mergeCell ref="E32:H33"/>
    <mergeCell ref="AE36:AF37"/>
    <mergeCell ref="E38:H38"/>
    <mergeCell ref="I38:L38"/>
    <mergeCell ref="M38:X38"/>
    <mergeCell ref="Y38:AA38"/>
    <mergeCell ref="AB38:AD38"/>
    <mergeCell ref="AE38:AF38"/>
    <mergeCell ref="E36:H37"/>
    <mergeCell ref="I36:L37"/>
    <mergeCell ref="M36:X37"/>
    <mergeCell ref="Y36:AA37"/>
    <mergeCell ref="AB36:AD37"/>
    <mergeCell ref="M32:P33"/>
    <mergeCell ref="Q32:T33"/>
    <mergeCell ref="U32:X33"/>
    <mergeCell ref="Y32:AA33"/>
    <mergeCell ref="AB32:AD33"/>
    <mergeCell ref="AE32:AF33"/>
    <mergeCell ref="E34:H34"/>
  </mergeCells>
  <phoneticPr fontId="2"/>
  <conditionalFormatting sqref="A1:AJ2 N5 K5 H5 Q5 AI5 AE5 AA5 W5 T5 A28:S28 V28 X28:AJ28 A8:AJ10 A5:C5 E5 A6:B6 A23:AJ25 E26:AJ26 A37:B37 A36:C36 A33:B33 A32:C32 A29:AJ30 A31:AI31 A35:AI35 A13:AJ15 E21:AJ21 A19:AJ20 A16:H18 K16:AJ18 T7:AJ7 A7:C7 A11:C12 E11:AJ12 A21:C22 E22:T22 X22:AJ22 AJ27 A26:C27 A34:C34 E32:AJ34 E36:AJ38 A38:C38 A4:AJ4 A3:K3 M3:AJ3">
    <cfRule type="expression" dxfId="5" priority="7">
      <formula>CELL("protect",A1)=0</formula>
    </cfRule>
  </conditionalFormatting>
  <conditionalFormatting sqref="AE34:AF34">
    <cfRule type="containsText" dxfId="4" priority="6" operator="containsText" text="NG">
      <formula>NOT(ISERROR(SEARCH("NG",AE34)))</formula>
    </cfRule>
  </conditionalFormatting>
  <conditionalFormatting sqref="AE38:AF38">
    <cfRule type="containsText" dxfId="3" priority="5" operator="containsText" text="NG">
      <formula>NOT(ISERROR(SEARCH("NG",AE38)))</formula>
    </cfRule>
  </conditionalFormatting>
  <conditionalFormatting sqref="AH12:AJ12">
    <cfRule type="cellIs" dxfId="2" priority="4" operator="lessThan">
      <formula>3</formula>
    </cfRule>
  </conditionalFormatting>
  <conditionalFormatting sqref="E7:S7">
    <cfRule type="expression" dxfId="1" priority="3">
      <formula>CELL("protect",E7)=0</formula>
    </cfRule>
  </conditionalFormatting>
  <conditionalFormatting sqref="E27:AI27">
    <cfRule type="expression" dxfId="0" priority="1">
      <formula>CELL("protect",E27)=0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杭水平力の検討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 竜平</dc:creator>
  <cp:lastModifiedBy>藤田 竜平</cp:lastModifiedBy>
  <cp:lastPrinted>2020-07-06T02:32:18Z</cp:lastPrinted>
  <dcterms:created xsi:type="dcterms:W3CDTF">2019-10-21T07:47:06Z</dcterms:created>
  <dcterms:modified xsi:type="dcterms:W3CDTF">2020-10-22T15:31:36Z</dcterms:modified>
</cp:coreProperties>
</file>