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788d9e77825c6f7b/바탕 화면/html/portfolio/"/>
    </mc:Choice>
  </mc:AlternateContent>
  <xr:revisionPtr revIDLastSave="1" documentId="14_{420098D0-1C5C-4521-A087-F9D99584E438}" xr6:coauthVersionLast="46" xr6:coauthVersionMax="46" xr10:uidLastSave="{C66A2FCA-705F-4394-AC45-ADC5BD32F75E}"/>
  <bookViews>
    <workbookView xWindow="-108" yWindow="-108" windowWidth="23256" windowHeight="12576" xr2:uid="{00000000-000D-0000-FFFF-FFFF00000000}"/>
  </bookViews>
  <sheets>
    <sheet name="일본직구판매" sheetId="1" r:id="rId1"/>
    <sheet name="국내중고도매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63" i="1" l="1"/>
  <c r="N63" i="1"/>
  <c r="K64" i="1"/>
  <c r="N64" i="1"/>
  <c r="K62" i="1"/>
  <c r="N62" i="1"/>
  <c r="F63" i="1"/>
  <c r="H64" i="1"/>
  <c r="F64" i="1"/>
  <c r="E64" i="1"/>
  <c r="I63" i="1"/>
  <c r="H63" i="1"/>
  <c r="G63" i="1"/>
  <c r="E63" i="1"/>
  <c r="H62" i="1"/>
  <c r="F62" i="1"/>
  <c r="E62" i="1"/>
  <c r="N61" i="1"/>
  <c r="K65" i="1"/>
  <c r="K61" i="1"/>
  <c r="H61" i="1"/>
  <c r="F61" i="1"/>
  <c r="E61" i="1"/>
  <c r="N51" i="1"/>
  <c r="K60" i="1"/>
  <c r="N60" i="1"/>
  <c r="I60" i="1"/>
  <c r="H60" i="1"/>
  <c r="G60" i="1"/>
  <c r="F60" i="1"/>
  <c r="E60" i="1"/>
  <c r="K59" i="1"/>
  <c r="H59" i="1"/>
  <c r="F59" i="1"/>
  <c r="E59" i="1"/>
  <c r="H58" i="1"/>
  <c r="F58" i="1"/>
  <c r="E58" i="1"/>
  <c r="H57" i="1"/>
  <c r="F57" i="1"/>
  <c r="E57" i="1"/>
  <c r="K58" i="1"/>
  <c r="N58" i="1"/>
  <c r="H56" i="1"/>
  <c r="F56" i="1"/>
  <c r="E56" i="1"/>
  <c r="N59" i="1"/>
  <c r="K57" i="1"/>
  <c r="N57" i="1"/>
  <c r="K56" i="1"/>
  <c r="N56" i="1"/>
  <c r="K55" i="1"/>
  <c r="N55" i="1"/>
  <c r="H55" i="1"/>
  <c r="F55" i="1"/>
  <c r="E55" i="1"/>
  <c r="K54" i="1"/>
  <c r="N54" i="1"/>
  <c r="I54" i="1"/>
  <c r="H54" i="1"/>
  <c r="G54" i="1"/>
  <c r="F54" i="1"/>
  <c r="E54" i="1"/>
  <c r="K53" i="1"/>
  <c r="I43" i="1"/>
  <c r="H43" i="1"/>
  <c r="G43" i="1"/>
  <c r="F43" i="1"/>
  <c r="E43" i="1"/>
  <c r="K43" i="1"/>
  <c r="N43" i="1"/>
  <c r="H49" i="1"/>
  <c r="F49" i="1"/>
  <c r="E49" i="1"/>
  <c r="K49" i="1"/>
  <c r="N49" i="1"/>
  <c r="H48" i="1"/>
  <c r="F48" i="1"/>
  <c r="E48" i="1"/>
  <c r="K48" i="1"/>
  <c r="N48" i="1"/>
  <c r="H27" i="1"/>
  <c r="F27" i="1"/>
  <c r="E27" i="1"/>
  <c r="K27" i="1"/>
  <c r="N27" i="1"/>
  <c r="H46" i="1"/>
  <c r="F46" i="1"/>
  <c r="E46" i="1"/>
  <c r="K46" i="1"/>
  <c r="N46" i="1"/>
  <c r="H47" i="1"/>
  <c r="F47" i="1"/>
  <c r="E47" i="1"/>
  <c r="K47" i="1"/>
  <c r="N47" i="1"/>
  <c r="H52" i="1"/>
  <c r="F52" i="1"/>
  <c r="E52" i="1"/>
  <c r="K52" i="1"/>
  <c r="N52" i="1"/>
  <c r="I51" i="1"/>
  <c r="H51" i="1"/>
  <c r="G51" i="1"/>
  <c r="F51" i="1"/>
  <c r="E51" i="1"/>
  <c r="K51" i="1"/>
  <c r="H53" i="1"/>
  <c r="F53" i="1"/>
  <c r="E53" i="1"/>
  <c r="N53" i="1"/>
  <c r="H40" i="1"/>
  <c r="F40" i="1"/>
  <c r="E40" i="1"/>
  <c r="K40" i="1"/>
  <c r="N40" i="1"/>
  <c r="H41" i="1"/>
  <c r="F41" i="1"/>
  <c r="E41" i="1"/>
  <c r="K41" i="1"/>
  <c r="N41" i="1"/>
  <c r="H45" i="1"/>
  <c r="F45" i="1"/>
  <c r="E45" i="1"/>
  <c r="K45" i="1"/>
  <c r="N45" i="1"/>
  <c r="H50" i="1"/>
  <c r="F50" i="1"/>
  <c r="E50" i="1"/>
  <c r="K50" i="1"/>
  <c r="N50" i="1"/>
  <c r="N33" i="1"/>
  <c r="N32" i="1"/>
  <c r="G44" i="1"/>
  <c r="I44" i="1"/>
  <c r="H44" i="1"/>
  <c r="F44" i="1"/>
  <c r="E44" i="1"/>
  <c r="K44" i="1"/>
  <c r="N44" i="1"/>
  <c r="H42" i="1"/>
  <c r="F42" i="1"/>
  <c r="E42" i="1"/>
  <c r="K42" i="1"/>
  <c r="N42" i="1"/>
  <c r="N34" i="1"/>
  <c r="I39" i="1"/>
  <c r="H39" i="1"/>
  <c r="G39" i="1"/>
  <c r="F39" i="1"/>
  <c r="E39" i="1"/>
  <c r="H38" i="1"/>
  <c r="F38" i="1"/>
  <c r="E38" i="1"/>
  <c r="H37" i="1"/>
  <c r="F37" i="1"/>
  <c r="E37" i="1"/>
  <c r="H36" i="1"/>
  <c r="F36" i="1"/>
  <c r="E36" i="1"/>
  <c r="H35" i="1"/>
  <c r="F35" i="1"/>
  <c r="E35" i="1"/>
  <c r="K35" i="1"/>
  <c r="N35" i="1"/>
  <c r="H34" i="1"/>
  <c r="F34" i="1"/>
  <c r="E34" i="1"/>
  <c r="I33" i="1"/>
  <c r="H33" i="1"/>
  <c r="G33" i="1"/>
  <c r="F33" i="1"/>
  <c r="E33" i="1"/>
  <c r="E32" i="1"/>
  <c r="H31" i="1"/>
  <c r="F31" i="1"/>
  <c r="E31" i="1"/>
  <c r="E13" i="1"/>
  <c r="K31" i="1"/>
  <c r="N31" i="1"/>
  <c r="K38" i="1"/>
  <c r="N38" i="1"/>
  <c r="K39" i="1"/>
  <c r="N39" i="1"/>
  <c r="K36" i="1"/>
  <c r="N36" i="1"/>
  <c r="E13" i="2"/>
  <c r="E17" i="2"/>
  <c r="N24" i="1"/>
  <c r="K23" i="1"/>
  <c r="N23" i="1"/>
  <c r="E29" i="2"/>
  <c r="E8" i="2"/>
  <c r="E14" i="2"/>
  <c r="E24" i="2"/>
  <c r="E12" i="2"/>
  <c r="E9" i="2"/>
  <c r="H30" i="1"/>
  <c r="F30" i="1"/>
  <c r="E30" i="1"/>
  <c r="N26" i="1"/>
  <c r="E29" i="1"/>
  <c r="H29" i="1"/>
  <c r="F29" i="1"/>
  <c r="N22" i="1"/>
  <c r="H28" i="1"/>
  <c r="F28" i="1"/>
  <c r="E28" i="1"/>
  <c r="K25" i="1"/>
  <c r="N25" i="1"/>
  <c r="I26" i="1"/>
  <c r="H26" i="1"/>
  <c r="G26" i="1"/>
  <c r="F26" i="1"/>
  <c r="E26" i="1"/>
  <c r="E7" i="2"/>
  <c r="E6" i="2"/>
  <c r="E5" i="2"/>
  <c r="E4" i="2"/>
  <c r="E3" i="2"/>
  <c r="E2" i="2"/>
  <c r="K28" i="1"/>
  <c r="K29" i="1"/>
  <c r="K30" i="1"/>
  <c r="N30" i="1"/>
  <c r="K13" i="1"/>
  <c r="N13" i="1"/>
  <c r="N20" i="1"/>
  <c r="I5" i="1"/>
  <c r="I7" i="1"/>
  <c r="I13" i="1"/>
  <c r="I18" i="1"/>
  <c r="I25" i="1"/>
  <c r="H25" i="1"/>
  <c r="G25" i="1"/>
  <c r="F25" i="1"/>
  <c r="E25" i="1"/>
  <c r="H24" i="1"/>
  <c r="F24" i="1"/>
  <c r="E24" i="1"/>
  <c r="H23" i="1"/>
  <c r="F23" i="1"/>
  <c r="E23" i="1"/>
  <c r="H22" i="1"/>
  <c r="F22" i="1"/>
  <c r="E22" i="1"/>
  <c r="H21" i="1"/>
  <c r="F21" i="1"/>
  <c r="E21" i="1"/>
  <c r="H20" i="1"/>
  <c r="E20" i="1"/>
  <c r="H19" i="1"/>
  <c r="F19" i="1"/>
  <c r="F12" i="1"/>
  <c r="H12" i="1"/>
  <c r="E19" i="1"/>
  <c r="H18" i="1"/>
  <c r="G18" i="1"/>
  <c r="K18" i="1"/>
  <c r="N18" i="1"/>
  <c r="K19" i="1"/>
  <c r="N19" i="1"/>
  <c r="K12" i="1"/>
  <c r="N12" i="1"/>
  <c r="K15" i="1"/>
  <c r="N15" i="1"/>
  <c r="E16" i="1"/>
  <c r="K16" i="1"/>
  <c r="N16" i="1"/>
  <c r="E15" i="1"/>
  <c r="G17" i="1"/>
  <c r="E17" i="1"/>
  <c r="K11" i="1"/>
  <c r="N11" i="1"/>
  <c r="K17" i="1"/>
  <c r="N17" i="1"/>
  <c r="H14" i="1"/>
  <c r="F14" i="1"/>
  <c r="E14" i="1"/>
  <c r="H13" i="1"/>
  <c r="G13" i="1"/>
  <c r="E12" i="1"/>
  <c r="K14" i="1"/>
  <c r="N14" i="1"/>
  <c r="K6" i="1"/>
  <c r="E7" i="1"/>
  <c r="E3" i="1"/>
  <c r="E2" i="1"/>
  <c r="K2" i="1"/>
  <c r="N2" i="1"/>
  <c r="K4" i="1"/>
  <c r="E10" i="1"/>
  <c r="H9" i="1"/>
  <c r="E9" i="1"/>
  <c r="N8" i="1"/>
  <c r="E8" i="1"/>
  <c r="K8" i="1"/>
  <c r="N7" i="1"/>
  <c r="H7" i="1"/>
  <c r="G7" i="1"/>
  <c r="N6" i="1"/>
  <c r="N5" i="1"/>
  <c r="G5" i="1"/>
  <c r="F5" i="1"/>
  <c r="E5" i="1"/>
  <c r="N4" i="1"/>
  <c r="H3" i="1"/>
  <c r="K5" i="1"/>
  <c r="K9" i="1"/>
  <c r="N9" i="1"/>
  <c r="K3" i="1"/>
  <c r="K7" i="1"/>
  <c r="K10" i="1"/>
  <c r="N10" i="1"/>
</calcChain>
</file>

<file path=xl/sharedStrings.xml><?xml version="1.0" encoding="utf-8"?>
<sst xmlns="http://schemas.openxmlformats.org/spreadsheetml/2006/main" count="305" uniqueCount="180">
  <si>
    <t>제품명</t>
    <phoneticPr fontId="2" type="noConversion"/>
  </si>
  <si>
    <t>판매금액</t>
    <phoneticPr fontId="2" type="noConversion"/>
  </si>
  <si>
    <t>순수물품대금</t>
    <phoneticPr fontId="2" type="noConversion"/>
  </si>
  <si>
    <t>포장비</t>
    <phoneticPr fontId="2" type="noConversion"/>
  </si>
  <si>
    <t>국제배송비</t>
    <phoneticPr fontId="2" type="noConversion"/>
  </si>
  <si>
    <t>순이익</t>
    <phoneticPr fontId="2" type="noConversion"/>
  </si>
  <si>
    <t>국내배송비</t>
    <phoneticPr fontId="2" type="noConversion"/>
  </si>
  <si>
    <t>판매날짜</t>
    <phoneticPr fontId="2" type="noConversion"/>
  </si>
  <si>
    <t>1035원</t>
    <phoneticPr fontId="2" type="noConversion"/>
  </si>
  <si>
    <t>1043원</t>
    <phoneticPr fontId="2" type="noConversion"/>
  </si>
  <si>
    <t>환율(100엔)</t>
    <phoneticPr fontId="2" type="noConversion"/>
  </si>
  <si>
    <t>1034원</t>
    <phoneticPr fontId="2" type="noConversion"/>
  </si>
  <si>
    <t>12월 18일</t>
    <phoneticPr fontId="2" type="noConversion"/>
  </si>
  <si>
    <t>xl그레이푸파</t>
    <phoneticPr fontId="2" type="noConversion"/>
  </si>
  <si>
    <t>xxl그레이푸파</t>
    <phoneticPr fontId="2" type="noConversion"/>
  </si>
  <si>
    <t>m검은색경량</t>
    <phoneticPr fontId="2" type="noConversion"/>
  </si>
  <si>
    <t>m흰색뉴챔프</t>
    <phoneticPr fontId="2" type="noConversion"/>
  </si>
  <si>
    <t>m네이비양면</t>
    <phoneticPr fontId="2" type="noConversion"/>
  </si>
  <si>
    <t>입찰일자</t>
    <phoneticPr fontId="2" type="noConversion"/>
  </si>
  <si>
    <t>2차결제날짜</t>
    <phoneticPr fontId="2" type="noConversion"/>
  </si>
  <si>
    <t>1048원</t>
    <phoneticPr fontId="2" type="noConversion"/>
  </si>
  <si>
    <t>12월 20일</t>
    <phoneticPr fontId="2" type="noConversion"/>
  </si>
  <si>
    <t>12월 23일</t>
    <phoneticPr fontId="2" type="noConversion"/>
  </si>
  <si>
    <t>12월 26일</t>
    <phoneticPr fontId="2" type="noConversion"/>
  </si>
  <si>
    <t>1056원</t>
    <phoneticPr fontId="2" type="noConversion"/>
  </si>
  <si>
    <t>l블랙양면</t>
    <phoneticPr fontId="2" type="noConversion"/>
  </si>
  <si>
    <t>1053원</t>
    <phoneticPr fontId="2" type="noConversion"/>
  </si>
  <si>
    <t>01월 03일</t>
    <phoneticPr fontId="2" type="noConversion"/>
  </si>
  <si>
    <t>m굵은팔줄패딩</t>
    <phoneticPr fontId="2" type="noConversion"/>
  </si>
  <si>
    <t>1084원</t>
    <phoneticPr fontId="2" type="noConversion"/>
  </si>
  <si>
    <t>비용합계</t>
    <phoneticPr fontId="2" type="noConversion"/>
  </si>
  <si>
    <t>1079원</t>
    <phoneticPr fontId="2" type="noConversion"/>
  </si>
  <si>
    <t>01월 16일</t>
    <phoneticPr fontId="2" type="noConversion"/>
  </si>
  <si>
    <t>01월 06일</t>
    <phoneticPr fontId="2" type="noConversion"/>
  </si>
  <si>
    <t>m블랙양면</t>
    <phoneticPr fontId="2" type="noConversion"/>
  </si>
  <si>
    <t>m나이키자켓</t>
    <phoneticPr fontId="2" type="noConversion"/>
  </si>
  <si>
    <t>01월 08일</t>
    <phoneticPr fontId="2" type="noConversion"/>
  </si>
  <si>
    <t>xl그레이블랙</t>
    <phoneticPr fontId="2" type="noConversion"/>
  </si>
  <si>
    <t>1070원</t>
    <phoneticPr fontId="2" type="noConversion"/>
  </si>
  <si>
    <t>01월 21일</t>
    <phoneticPr fontId="2" type="noConversion"/>
  </si>
  <si>
    <t>01월 15일</t>
    <phoneticPr fontId="2" type="noConversion"/>
  </si>
  <si>
    <t>01월 14일</t>
    <phoneticPr fontId="2" type="noConversion"/>
  </si>
  <si>
    <t>01월 18일</t>
    <phoneticPr fontId="2" type="noConversion"/>
  </si>
  <si>
    <t>택배 도착일</t>
    <phoneticPr fontId="2" type="noConversion"/>
  </si>
  <si>
    <t>01월 13일</t>
    <phoneticPr fontId="2" type="noConversion"/>
  </si>
  <si>
    <t>01월 24일</t>
    <phoneticPr fontId="2" type="noConversion"/>
  </si>
  <si>
    <t>01월 31일</t>
    <phoneticPr fontId="2" type="noConversion"/>
  </si>
  <si>
    <t>xl흰색뉴챔프</t>
    <phoneticPr fontId="2" type="noConversion"/>
  </si>
  <si>
    <t>1069원</t>
    <phoneticPr fontId="2" type="noConversion"/>
  </si>
  <si>
    <t>1067원</t>
    <phoneticPr fontId="2" type="noConversion"/>
  </si>
  <si>
    <t>xl회색뉴챔프</t>
    <phoneticPr fontId="2" type="noConversion"/>
  </si>
  <si>
    <t>01월 12일</t>
    <phoneticPr fontId="2" type="noConversion"/>
  </si>
  <si>
    <t>m검정뉴챔프</t>
    <phoneticPr fontId="2" type="noConversion"/>
  </si>
  <si>
    <t>xl검정뉴챔프</t>
    <phoneticPr fontId="2" type="noConversion"/>
  </si>
  <si>
    <t>01월 16일(3개)</t>
    <phoneticPr fontId="2" type="noConversion"/>
  </si>
  <si>
    <t>01월 21일(3개)</t>
    <phoneticPr fontId="2" type="noConversion"/>
  </si>
  <si>
    <t>12월 25일(3개)</t>
    <phoneticPr fontId="2" type="noConversion"/>
  </si>
  <si>
    <t>12월 28일(2개)</t>
    <phoneticPr fontId="2" type="noConversion"/>
  </si>
  <si>
    <t>01월 09일(5개)</t>
    <phoneticPr fontId="2" type="noConversion"/>
  </si>
  <si>
    <t>02월 07일</t>
    <phoneticPr fontId="2" type="noConversion"/>
  </si>
  <si>
    <t>01월 20일</t>
    <phoneticPr fontId="2" type="noConversion"/>
  </si>
  <si>
    <t>02월 07일(3개)</t>
    <phoneticPr fontId="2" type="noConversion"/>
  </si>
  <si>
    <t>02월 16일</t>
    <phoneticPr fontId="2" type="noConversion"/>
  </si>
  <si>
    <t>m그레이블랙</t>
    <phoneticPr fontId="2" type="noConversion"/>
  </si>
  <si>
    <t>1062원</t>
    <phoneticPr fontId="2" type="noConversion"/>
  </si>
  <si>
    <t>l투톤여성패딩베이지</t>
    <phoneticPr fontId="2" type="noConversion"/>
  </si>
  <si>
    <t>02월 10일</t>
    <phoneticPr fontId="2" type="noConversion"/>
  </si>
  <si>
    <t>02월 21일</t>
    <phoneticPr fontId="2" type="noConversion"/>
  </si>
  <si>
    <t>03월 06일</t>
    <phoneticPr fontId="2" type="noConversion"/>
  </si>
  <si>
    <t>1061원</t>
    <phoneticPr fontId="2" type="noConversion"/>
  </si>
  <si>
    <t>12월 16일[2018년]</t>
    <phoneticPr fontId="2" type="noConversion"/>
  </si>
  <si>
    <t>m투톤여성패딩블랙</t>
    <phoneticPr fontId="2" type="noConversion"/>
  </si>
  <si>
    <t>l 흰색롱패딩</t>
    <phoneticPr fontId="2" type="noConversion"/>
  </si>
  <si>
    <t>l그레이돕바</t>
    <phoneticPr fontId="2" type="noConversion"/>
  </si>
  <si>
    <t>m jwanderson남성</t>
    <phoneticPr fontId="2" type="noConversion"/>
  </si>
  <si>
    <t>1065원</t>
    <phoneticPr fontId="2" type="noConversion"/>
  </si>
  <si>
    <t>l아스팔트그레이</t>
    <phoneticPr fontId="2" type="noConversion"/>
  </si>
  <si>
    <t>s jwanderson여성</t>
    <phoneticPr fontId="2" type="noConversion"/>
  </si>
  <si>
    <t>02월 06일</t>
    <phoneticPr fontId="2" type="noConversion"/>
  </si>
  <si>
    <t>도매 가격</t>
    <phoneticPr fontId="2" type="noConversion"/>
  </si>
  <si>
    <t>배송비</t>
    <phoneticPr fontId="2" type="noConversion"/>
  </si>
  <si>
    <t>판매가격</t>
    <phoneticPr fontId="2" type="noConversion"/>
  </si>
  <si>
    <t>수익</t>
    <phoneticPr fontId="2" type="noConversion"/>
  </si>
  <si>
    <t>갤럭시자켓</t>
    <phoneticPr fontId="2" type="noConversion"/>
  </si>
  <si>
    <t>엔더슨벨 후드</t>
    <phoneticPr fontId="2" type="noConversion"/>
  </si>
  <si>
    <t>아디다스 츄리닝바지</t>
    <phoneticPr fontId="2" type="noConversion"/>
  </si>
  <si>
    <t>베이지 자켓</t>
    <phoneticPr fontId="2" type="noConversion"/>
  </si>
  <si>
    <t>지이크 맥코트</t>
    <phoneticPr fontId="2" type="noConversion"/>
  </si>
  <si>
    <t>참스 맨투맨</t>
    <phoneticPr fontId="2" type="noConversion"/>
  </si>
  <si>
    <t>버버리힐즈 폴로자켓</t>
    <phoneticPr fontId="2" type="noConversion"/>
  </si>
  <si>
    <t>노스페이스바람막이</t>
    <phoneticPr fontId="2" type="noConversion"/>
  </si>
  <si>
    <t>02월 08일</t>
    <phoneticPr fontId="2" type="noConversion"/>
  </si>
  <si>
    <t>02월 21일(5개)</t>
    <phoneticPr fontId="2" type="noConversion"/>
  </si>
  <si>
    <t>04월 01일</t>
    <phoneticPr fontId="2" type="noConversion"/>
  </si>
  <si>
    <t>04월 09일</t>
    <phoneticPr fontId="2" type="noConversion"/>
  </si>
  <si>
    <t>현지배송비(일본내)</t>
    <phoneticPr fontId="2" type="noConversion"/>
  </si>
  <si>
    <t>02월 09일</t>
    <phoneticPr fontId="2" type="noConversion"/>
  </si>
  <si>
    <t>L네이비 돕바</t>
    <phoneticPr fontId="2" type="noConversion"/>
  </si>
  <si>
    <t>M아디다스숏바람막이</t>
    <phoneticPr fontId="2" type="noConversion"/>
  </si>
  <si>
    <t>수수료(송금,통합,대행,대금상환)</t>
    <phoneticPr fontId="2" type="noConversion"/>
  </si>
  <si>
    <t>1040원</t>
    <phoneticPr fontId="2" type="noConversion"/>
  </si>
  <si>
    <t>M양털나이키돕바</t>
    <phoneticPr fontId="2" type="noConversion"/>
  </si>
  <si>
    <t>M나이키블랙숏패딩</t>
    <phoneticPr fontId="2" type="noConversion"/>
  </si>
  <si>
    <t>1046원</t>
    <phoneticPr fontId="2" type="noConversion"/>
  </si>
  <si>
    <t>아디다스후드</t>
    <phoneticPr fontId="2" type="noConversion"/>
  </si>
  <si>
    <t>갭후드</t>
    <phoneticPr fontId="2" type="noConversion"/>
  </si>
  <si>
    <t>지오지아미니멀자켓</t>
    <phoneticPr fontId="2" type="noConversion"/>
  </si>
  <si>
    <t>지오송지오정장자켓</t>
    <phoneticPr fontId="2" type="noConversion"/>
  </si>
  <si>
    <t>폴햄면자켓</t>
    <phoneticPr fontId="2" type="noConversion"/>
  </si>
  <si>
    <t>트렌치코트</t>
    <phoneticPr fontId="2" type="noConversion"/>
  </si>
  <si>
    <t>나이키후드티</t>
    <phoneticPr fontId="2" type="noConversion"/>
  </si>
  <si>
    <t>유니클로후드집업1</t>
    <phoneticPr fontId="2" type="noConversion"/>
  </si>
  <si>
    <t>유니클로후드집업2</t>
    <phoneticPr fontId="2" type="noConversion"/>
  </si>
  <si>
    <t>셔츠1</t>
    <phoneticPr fontId="2" type="noConversion"/>
  </si>
  <si>
    <t>셔츠2</t>
    <phoneticPr fontId="2" type="noConversion"/>
  </si>
  <si>
    <t>보세후드</t>
    <phoneticPr fontId="2" type="noConversion"/>
  </si>
  <si>
    <t>lmc후드</t>
    <phoneticPr fontId="2" type="noConversion"/>
  </si>
  <si>
    <t>에잇세컨즈셔츠</t>
    <phoneticPr fontId="2" type="noConversion"/>
  </si>
  <si>
    <t>래노버셔츠</t>
    <phoneticPr fontId="2" type="noConversion"/>
  </si>
  <si>
    <t>테이트셔츠</t>
    <phoneticPr fontId="2" type="noConversion"/>
  </si>
  <si>
    <t>캘빈흑청자켓</t>
    <phoneticPr fontId="2" type="noConversion"/>
  </si>
  <si>
    <t>tbj코팅자켓</t>
    <phoneticPr fontId="2" type="noConversion"/>
  </si>
  <si>
    <t>폴로후드집업</t>
    <phoneticPr fontId="2" type="noConversion"/>
  </si>
  <si>
    <t>마인브릿지맨투맨</t>
    <phoneticPr fontId="2" type="noConversion"/>
  </si>
  <si>
    <t>루이까또즈셔츠</t>
    <phoneticPr fontId="2" type="noConversion"/>
  </si>
  <si>
    <t>11월 27일</t>
    <phoneticPr fontId="2" type="noConversion"/>
  </si>
  <si>
    <t>1120원</t>
    <phoneticPr fontId="2" type="noConversion"/>
  </si>
  <si>
    <t>11월 13일</t>
    <phoneticPr fontId="2" type="noConversion"/>
  </si>
  <si>
    <t>01월 01일[2019년]</t>
    <phoneticPr fontId="2" type="noConversion"/>
  </si>
  <si>
    <t>11월 19일</t>
    <phoneticPr fontId="2" type="noConversion"/>
  </si>
  <si>
    <t>L나이키아이보리</t>
    <phoneticPr fontId="2" type="noConversion"/>
  </si>
  <si>
    <t>XL블랙가슴주머니패딩</t>
    <phoneticPr fontId="2" type="noConversion"/>
  </si>
  <si>
    <t>11월 12일</t>
    <phoneticPr fontId="2" type="noConversion"/>
  </si>
  <si>
    <t>11월 27일</t>
  </si>
  <si>
    <t>M리버시블대장</t>
    <phoneticPr fontId="2" type="noConversion"/>
  </si>
  <si>
    <t>M고동색숏패딩</t>
    <phoneticPr fontId="2" type="noConversion"/>
  </si>
  <si>
    <t>L나이키봉패딩</t>
    <phoneticPr fontId="2" type="noConversion"/>
  </si>
  <si>
    <t>L희귀레드패딩</t>
    <phoneticPr fontId="2" type="noConversion"/>
  </si>
  <si>
    <t>1114원</t>
    <phoneticPr fontId="2" type="noConversion"/>
  </si>
  <si>
    <t>12월 19일</t>
    <phoneticPr fontId="2" type="noConversion"/>
  </si>
  <si>
    <t>12월 22일</t>
    <phoneticPr fontId="2" type="noConversion"/>
  </si>
  <si>
    <t>12월 27일</t>
    <phoneticPr fontId="2" type="noConversion"/>
  </si>
  <si>
    <t>01월 11일</t>
    <phoneticPr fontId="2" type="noConversion"/>
  </si>
  <si>
    <t>xl90년대남색패딩</t>
    <phoneticPr fontId="2" type="noConversion"/>
  </si>
  <si>
    <t>1111원</t>
    <phoneticPr fontId="2" type="noConversion"/>
  </si>
  <si>
    <t>L나이키블랙숏패딩</t>
    <phoneticPr fontId="2" type="noConversion"/>
  </si>
  <si>
    <t>L팔줄그린오렌지패딩</t>
    <phoneticPr fontId="2" type="noConversion"/>
  </si>
  <si>
    <t>12월 17일</t>
    <phoneticPr fontId="2" type="noConversion"/>
  </si>
  <si>
    <t>01월 07일</t>
    <phoneticPr fontId="2" type="noConversion"/>
  </si>
  <si>
    <t>M넥그레이리버시블</t>
    <phoneticPr fontId="2" type="noConversion"/>
  </si>
  <si>
    <t>1117원</t>
    <phoneticPr fontId="2" type="noConversion"/>
  </si>
  <si>
    <t>s얇은팔줄패딩블랙</t>
    <phoneticPr fontId="2" type="noConversion"/>
  </si>
  <si>
    <t>L얇은팔줄패딩블랙</t>
    <phoneticPr fontId="2" type="noConversion"/>
  </si>
  <si>
    <t>M얇은팔줄패딩화이트=1700*11.15</t>
    <phoneticPr fontId="2" type="noConversion"/>
  </si>
  <si>
    <t>L ACG여성양면패딩</t>
    <phoneticPr fontId="2" type="noConversion"/>
  </si>
  <si>
    <t>L그레이화이트라인패딩</t>
    <phoneticPr fontId="2" type="noConversion"/>
  </si>
  <si>
    <t>1115원</t>
    <phoneticPr fontId="2" type="noConversion"/>
  </si>
  <si>
    <t>M그레이블랙후디패딩</t>
    <phoneticPr fontId="2" type="noConversion"/>
  </si>
  <si>
    <t>XL가슴배색양면패딩</t>
    <phoneticPr fontId="2" type="noConversion"/>
  </si>
  <si>
    <t>m회색뉴챔프</t>
    <phoneticPr fontId="2" type="noConversion"/>
  </si>
  <si>
    <t>1158원</t>
    <phoneticPr fontId="2" type="noConversion"/>
  </si>
  <si>
    <t>XL희귀레드패딩</t>
    <phoneticPr fontId="2" type="noConversion"/>
  </si>
  <si>
    <t>l흰색뉴챔프</t>
    <phoneticPr fontId="2" type="noConversion"/>
  </si>
  <si>
    <t>m브라운뉴챔프</t>
  </si>
  <si>
    <t>1158원</t>
  </si>
  <si>
    <t>xxl블랙양면</t>
  </si>
  <si>
    <t>L그레이푸파</t>
  </si>
  <si>
    <t>m네이비양면</t>
  </si>
  <si>
    <t>1129원</t>
  </si>
  <si>
    <t>L리복양면롱패딩</t>
  </si>
  <si>
    <t>M그레이블랙</t>
  </si>
  <si>
    <t>1137원</t>
  </si>
  <si>
    <t>1138원</t>
  </si>
  <si>
    <t>M똥색나이키롱패딩</t>
  </si>
  <si>
    <t>L회색뉴챔프</t>
  </si>
  <si>
    <t>1109원</t>
  </si>
  <si>
    <t>XL얇은팔줄패딩블랙</t>
  </si>
  <si>
    <t>M그레이야상(새상품)</t>
  </si>
  <si>
    <t>XL그레이똑딱이패딩</t>
  </si>
  <si>
    <t>1126원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</si>
</sst>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-&quot;₩&quot;* #,##0_-;\-&quot;₩&quot;* #,##0_-;_-&quot;₩&quot;* &quot;-&quot;_-;_-@_-"/>
    <numFmt numFmtId="176" formatCode="mm&quot;월&quot;\ dd&quot;일&quot;"/>
    <numFmt numFmtId="177" formatCode="0_ "/>
    <numFmt numFmtId="178" formatCode="0_);[Red]\(0\)"/>
  </numFmts>
  <fonts count="12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002060"/>
      <name val="맑은 고딕"/>
      <family val="2"/>
      <scheme val="minor"/>
    </font>
    <font>
      <b/>
      <sz val="11"/>
      <color rgb="FF00B050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b/>
      <sz val="11"/>
      <color rgb="FFFF0000"/>
      <name val="맑은 고딕"/>
      <family val="2"/>
      <scheme val="minor"/>
    </font>
    <font>
      <sz val="11"/>
      <color rgb="FF00B050"/>
      <name val="맑은 고딕"/>
      <family val="2"/>
      <scheme val="minor"/>
    </font>
    <font>
      <b/>
      <sz val="11"/>
      <color rgb="FFFF0000"/>
      <name val="맑은 고딕"/>
      <family val="3"/>
      <charset val="129"/>
      <scheme val="minor"/>
    </font>
    <font>
      <b/>
      <u/>
      <sz val="11"/>
      <color theme="1"/>
      <name val="맑은 고딕"/>
      <family val="2"/>
      <scheme val="minor"/>
    </font>
    <font>
      <b/>
      <sz val="11"/>
      <color rgb="FF00B050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rgb="FF505050"/>
      </bottom>
      <diagonal/>
    </border>
    <border>
      <left/>
      <right style="thin">
        <color indexed="64"/>
      </right>
      <top/>
      <bottom style="thin">
        <color rgb="FF505050"/>
      </bottom>
      <diagonal/>
    </border>
  </borders>
  <cellStyleXfs count="2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</cellStyleXfs>
  <cellXfs count="68">
    <xf numFmtId="0" fontId="0" fillId="0" borderId="0" xfId="0">
      <alignment vertical="center"/>
    </xf>
    <xf numFmtId="176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0" fillId="0" borderId="0" xfId="0" applyBorder="1">
      <alignment vertical="center"/>
    </xf>
    <xf numFmtId="0" fontId="3" fillId="0" borderId="1" xfId="0" applyFont="1" applyBorder="1">
      <alignment vertical="center"/>
    </xf>
    <xf numFmtId="0" fontId="6" fillId="0" borderId="1" xfId="0" applyFont="1" applyBorder="1">
      <alignment vertical="center"/>
    </xf>
    <xf numFmtId="0" fontId="6" fillId="0" borderId="0" xfId="0" applyFont="1" applyAlignment="1">
      <alignment vertical="center"/>
    </xf>
    <xf numFmtId="0" fontId="6" fillId="0" borderId="1" xfId="0" applyFont="1" applyBorder="1" applyAlignment="1">
      <alignment vertical="center"/>
    </xf>
    <xf numFmtId="0" fontId="6" fillId="0" borderId="2" xfId="0" applyFont="1" applyBorder="1">
      <alignment vertical="center"/>
    </xf>
    <xf numFmtId="0" fontId="6" fillId="0" borderId="0" xfId="0" applyFont="1" applyBorder="1">
      <alignment vertical="center"/>
    </xf>
    <xf numFmtId="0" fontId="6" fillId="0" borderId="0" xfId="0" applyFont="1" applyFill="1" applyBorder="1">
      <alignment vertical="center"/>
    </xf>
    <xf numFmtId="0" fontId="7" fillId="0" borderId="4" xfId="0" applyFont="1" applyBorder="1">
      <alignment vertical="center"/>
    </xf>
    <xf numFmtId="0" fontId="7" fillId="0" borderId="3" xfId="0" applyFont="1" applyBorder="1">
      <alignment vertical="center"/>
    </xf>
    <xf numFmtId="0" fontId="9" fillId="0" borderId="4" xfId="0" applyFont="1" applyFill="1" applyBorder="1">
      <alignment vertical="center"/>
    </xf>
    <xf numFmtId="176" fontId="6" fillId="0" borderId="0" xfId="0" applyNumberFormat="1" applyFont="1" applyAlignment="1">
      <alignment horizontal="left" vertical="center"/>
    </xf>
    <xf numFmtId="176" fontId="6" fillId="0" borderId="1" xfId="0" applyNumberFormat="1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14" fontId="6" fillId="0" borderId="2" xfId="0" applyNumberFormat="1" applyFont="1" applyBorder="1">
      <alignment vertical="center"/>
    </xf>
    <xf numFmtId="176" fontId="6" fillId="0" borderId="2" xfId="0" applyNumberFormat="1" applyFont="1" applyBorder="1" applyAlignment="1">
      <alignment horizontal="left" vertical="center"/>
    </xf>
    <xf numFmtId="176" fontId="6" fillId="0" borderId="0" xfId="0" applyNumberFormat="1" applyFont="1" applyBorder="1" applyAlignment="1">
      <alignment horizontal="left" vertical="center"/>
    </xf>
    <xf numFmtId="0" fontId="6" fillId="0" borderId="2" xfId="0" applyFont="1" applyBorder="1" applyAlignment="1">
      <alignment vertical="center"/>
    </xf>
    <xf numFmtId="0" fontId="6" fillId="0" borderId="2" xfId="0" applyFont="1" applyBorder="1" applyAlignment="1">
      <alignment vertical="center" wrapText="1"/>
    </xf>
    <xf numFmtId="0" fontId="6" fillId="0" borderId="0" xfId="0" applyFont="1" applyBorder="1" applyAlignment="1">
      <alignment vertical="center" wrapText="1"/>
    </xf>
    <xf numFmtId="0" fontId="6" fillId="0" borderId="1" xfId="0" applyFont="1" applyFill="1" applyBorder="1">
      <alignment vertical="center"/>
    </xf>
    <xf numFmtId="177" fontId="5" fillId="0" borderId="1" xfId="0" applyNumberFormat="1" applyFont="1" applyBorder="1">
      <alignment vertical="center"/>
    </xf>
    <xf numFmtId="177" fontId="5" fillId="0" borderId="0" xfId="0" applyNumberFormat="1" applyFont="1" applyAlignment="1">
      <alignment vertical="center"/>
    </xf>
    <xf numFmtId="177" fontId="5" fillId="0" borderId="0" xfId="0" applyNumberFormat="1" applyFont="1">
      <alignment vertical="center"/>
    </xf>
    <xf numFmtId="177" fontId="5" fillId="0" borderId="1" xfId="0" applyNumberFormat="1" applyFont="1" applyBorder="1" applyAlignment="1">
      <alignment vertical="center"/>
    </xf>
    <xf numFmtId="177" fontId="5" fillId="0" borderId="2" xfId="0" applyNumberFormat="1" applyFont="1" applyBorder="1">
      <alignment vertical="center"/>
    </xf>
    <xf numFmtId="177" fontId="5" fillId="0" borderId="0" xfId="0" applyNumberFormat="1" applyFont="1" applyBorder="1">
      <alignment vertical="center"/>
    </xf>
    <xf numFmtId="177" fontId="8" fillId="0" borderId="0" xfId="0" applyNumberFormat="1" applyFont="1">
      <alignment vertical="center"/>
    </xf>
    <xf numFmtId="178" fontId="7" fillId="0" borderId="1" xfId="0" applyNumberFormat="1" applyFont="1" applyBorder="1">
      <alignment vertical="center"/>
    </xf>
    <xf numFmtId="178" fontId="6" fillId="0" borderId="0" xfId="1" applyNumberFormat="1" applyFont="1" applyAlignment="1">
      <alignment vertical="center"/>
    </xf>
    <xf numFmtId="178" fontId="10" fillId="0" borderId="0" xfId="1" applyNumberFormat="1" applyFont="1" applyAlignment="1">
      <alignment vertical="center"/>
    </xf>
    <xf numFmtId="178" fontId="3" fillId="0" borderId="0" xfId="1" applyNumberFormat="1" applyFont="1">
      <alignment vertical="center"/>
    </xf>
    <xf numFmtId="178" fontId="6" fillId="0" borderId="1" xfId="1" applyNumberFormat="1" applyFont="1" applyBorder="1" applyAlignment="1">
      <alignment vertical="center"/>
    </xf>
    <xf numFmtId="178" fontId="6" fillId="0" borderId="2" xfId="1" applyNumberFormat="1" applyFont="1" applyBorder="1">
      <alignment vertical="center"/>
    </xf>
    <xf numFmtId="178" fontId="10" fillId="0" borderId="2" xfId="1" applyNumberFormat="1" applyFont="1" applyBorder="1">
      <alignment vertical="center"/>
    </xf>
    <xf numFmtId="178" fontId="6" fillId="0" borderId="1" xfId="1" applyNumberFormat="1" applyFont="1" applyBorder="1">
      <alignment vertical="center"/>
    </xf>
    <xf numFmtId="178" fontId="6" fillId="0" borderId="0" xfId="1" applyNumberFormat="1" applyFont="1" applyBorder="1">
      <alignment vertical="center"/>
    </xf>
    <xf numFmtId="178" fontId="6" fillId="0" borderId="0" xfId="0" applyNumberFormat="1" applyFont="1" applyBorder="1">
      <alignment vertical="center"/>
    </xf>
    <xf numFmtId="178" fontId="10" fillId="0" borderId="0" xfId="0" applyNumberFormat="1" applyFont="1" applyBorder="1">
      <alignment vertical="center"/>
    </xf>
    <xf numFmtId="178" fontId="6" fillId="0" borderId="1" xfId="0" applyNumberFormat="1" applyFont="1" applyBorder="1" applyAlignment="1">
      <alignment vertical="center" wrapText="1"/>
    </xf>
    <xf numFmtId="178" fontId="6" fillId="0" borderId="1" xfId="0" applyNumberFormat="1" applyFont="1" applyBorder="1">
      <alignment vertical="center"/>
    </xf>
    <xf numFmtId="178" fontId="6" fillId="0" borderId="2" xfId="0" applyNumberFormat="1" applyFont="1" applyBorder="1">
      <alignment vertical="center"/>
    </xf>
    <xf numFmtId="178" fontId="10" fillId="0" borderId="1" xfId="0" applyNumberFormat="1" applyFont="1" applyBorder="1">
      <alignment vertical="center"/>
    </xf>
    <xf numFmtId="178" fontId="10" fillId="0" borderId="2" xfId="0" applyNumberFormat="1" applyFont="1" applyBorder="1">
      <alignment vertical="center"/>
    </xf>
    <xf numFmtId="178" fontId="3" fillId="0" borderId="0" xfId="0" applyNumberFormat="1" applyFont="1">
      <alignment vertical="center"/>
    </xf>
    <xf numFmtId="178" fontId="6" fillId="0" borderId="0" xfId="0" applyNumberFormat="1" applyFont="1">
      <alignment vertical="center"/>
    </xf>
    <xf numFmtId="178" fontId="6" fillId="0" borderId="0" xfId="0" applyNumberFormat="1" applyFont="1" applyFill="1" applyBorder="1">
      <alignment vertical="center"/>
    </xf>
    <xf numFmtId="178" fontId="6" fillId="0" borderId="1" xfId="0" applyNumberFormat="1" applyFont="1" applyFill="1" applyBorder="1">
      <alignment vertical="center"/>
    </xf>
    <xf numFmtId="0" fontId="0" fillId="0" borderId="1" xfId="0" applyBorder="1">
      <alignment vertical="center"/>
    </xf>
    <xf numFmtId="177" fontId="11" fillId="0" borderId="0" xfId="0" applyNumberFormat="1" applyFont="1">
      <alignment vertical="center"/>
    </xf>
    <xf numFmtId="0" fontId="6" fillId="0" borderId="5" xfId="0" applyFont="1" applyBorder="1">
      <alignment vertical="center"/>
    </xf>
    <xf numFmtId="0" fontId="7" fillId="0" borderId="6" xfId="0" applyFont="1" applyBorder="1">
      <alignment vertical="center"/>
    </xf>
    <xf numFmtId="0" fontId="6" fillId="0" borderId="7" xfId="0" applyFont="1" applyBorder="1">
      <alignment vertical="center"/>
    </xf>
    <xf numFmtId="0" fontId="6" fillId="0" borderId="8" xfId="0" applyFont="1" applyBorder="1">
      <alignment vertical="center"/>
    </xf>
    <xf numFmtId="177" fontId="5" fillId="0" borderId="9" xfId="0" applyNumberFormat="1" applyFont="1" applyBorder="1">
      <alignment vertical="center"/>
    </xf>
    <xf numFmtId="178" fontId="6" fillId="0" borderId="9" xfId="0" applyNumberFormat="1" applyFont="1" applyBorder="1">
      <alignment vertical="center"/>
    </xf>
    <xf numFmtId="177" fontId="11" fillId="0" borderId="0" xfId="0" applyNumberFormat="1" applyFont="1" applyBorder="1">
      <alignment vertical="center"/>
    </xf>
    <xf numFmtId="177" fontId="11" fillId="0" borderId="9" xfId="0" applyNumberFormat="1" applyFont="1" applyBorder="1">
      <alignment vertical="center"/>
    </xf>
    <xf numFmtId="0" fontId="6" fillId="0" borderId="9" xfId="0" applyFont="1" applyBorder="1">
      <alignment vertical="center"/>
    </xf>
    <xf numFmtId="0" fontId="7" fillId="0" borderId="10" xfId="0" applyFont="1" applyBorder="1">
      <alignment vertical="center"/>
    </xf>
    <xf numFmtId="0" fontId="0" fillId="0" borderId="9" xfId="0" applyBorder="1">
      <alignment vertical="center"/>
    </xf>
  </cellXfs>
  <cellStyles count="2">
    <cellStyle name="통화 [0]" xfId="1" builtinId="7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73"/>
  <sheetViews>
    <sheetView tabSelected="1" zoomScale="51" zoomScaleNormal="85" workbookViewId="0">
      <selection activeCell="P1" sqref="P1:Q1048576"/>
    </sheetView>
  </sheetViews>
  <sheetFormatPr defaultRowHeight="17.399999999999999" x14ac:dyDescent="0.4"/>
  <cols>
    <col min="1" max="1" width="16.09765625" style="5" bestFit="1" customWidth="1"/>
    <col min="2" max="2" width="16" style="5" customWidth="1"/>
    <col min="3" max="3" width="13.5" style="5" bestFit="1" customWidth="1"/>
    <col min="4" max="4" width="18.296875" style="5" customWidth="1"/>
    <col min="5" max="5" width="13.09765625" style="52" customWidth="1"/>
    <col min="6" max="6" width="9.5" style="52" customWidth="1"/>
    <col min="7" max="7" width="12.296875" style="52" bestFit="1" customWidth="1"/>
    <col min="8" max="8" width="16.19921875" style="52" customWidth="1"/>
    <col min="9" max="9" width="11.5" style="52" customWidth="1"/>
    <col min="10" max="10" width="12.296875" style="52" customWidth="1"/>
    <col min="11" max="11" width="8.69921875" style="52"/>
    <col min="12" max="12" width="16.5" style="5" customWidth="1"/>
    <col min="13" max="13" width="8.69921875" style="5"/>
    <col min="14" max="14" width="8.8984375" style="34" bestFit="1" customWidth="1"/>
    <col min="15" max="15" width="10.296875" style="5" customWidth="1"/>
    <col min="16" max="16" width="8.69921875" style="5"/>
    <col min="17" max="17" width="13.8984375" style="6" customWidth="1"/>
  </cols>
  <sheetData>
    <row r="1" spans="1:26" x14ac:dyDescent="0.4">
      <c r="A1" s="8" t="s">
        <v>18</v>
      </c>
      <c r="B1" s="8" t="s">
        <v>19</v>
      </c>
      <c r="C1" s="8" t="s">
        <v>43</v>
      </c>
      <c r="D1" s="9" t="s">
        <v>0</v>
      </c>
      <c r="E1" s="35" t="s">
        <v>2</v>
      </c>
      <c r="F1" s="35" t="s">
        <v>99</v>
      </c>
      <c r="G1" s="35" t="s">
        <v>3</v>
      </c>
      <c r="H1" s="35" t="s">
        <v>95</v>
      </c>
      <c r="I1" s="35" t="s">
        <v>4</v>
      </c>
      <c r="J1" s="35" t="s">
        <v>6</v>
      </c>
      <c r="K1" s="35" t="s">
        <v>30</v>
      </c>
      <c r="L1" s="9" t="s">
        <v>7</v>
      </c>
      <c r="M1" s="9" t="s">
        <v>1</v>
      </c>
      <c r="N1" s="28" t="s">
        <v>5</v>
      </c>
      <c r="O1" s="9" t="s">
        <v>10</v>
      </c>
      <c r="P1" s="9"/>
      <c r="Q1" s="17"/>
      <c r="U1" s="1"/>
      <c r="V1" s="2"/>
      <c r="W1" s="1"/>
      <c r="X1" s="2"/>
      <c r="Y1" s="2"/>
      <c r="Z1" s="2"/>
    </row>
    <row r="2" spans="1:26" x14ac:dyDescent="0.4">
      <c r="A2" s="18" t="s">
        <v>70</v>
      </c>
      <c r="B2" s="18">
        <v>43459</v>
      </c>
      <c r="C2" s="18" t="s">
        <v>27</v>
      </c>
      <c r="D2" s="10" t="s">
        <v>14</v>
      </c>
      <c r="E2" s="36">
        <f>ROUNDUP(23805,0)</f>
        <v>23805</v>
      </c>
      <c r="F2" s="36">
        <v>1863</v>
      </c>
      <c r="G2" s="36">
        <v>1035</v>
      </c>
      <c r="H2" s="36">
        <v>11799</v>
      </c>
      <c r="I2" s="37">
        <v>17078</v>
      </c>
      <c r="J2" s="36">
        <v>3000</v>
      </c>
      <c r="K2" s="36">
        <f>E2+F2+G2+H2+I2+J2</f>
        <v>58580</v>
      </c>
      <c r="L2" s="10">
        <v>190105</v>
      </c>
      <c r="M2" s="10">
        <v>130000</v>
      </c>
      <c r="N2" s="29">
        <f>M2-K2</f>
        <v>71420</v>
      </c>
      <c r="O2" s="10" t="s">
        <v>8</v>
      </c>
      <c r="Q2" s="16"/>
    </row>
    <row r="3" spans="1:26" x14ac:dyDescent="0.4">
      <c r="A3" s="18">
        <v>43450</v>
      </c>
      <c r="B3" s="18">
        <v>43459</v>
      </c>
      <c r="C3" s="18" t="s">
        <v>27</v>
      </c>
      <c r="D3" s="5" t="s">
        <v>15</v>
      </c>
      <c r="E3" s="38">
        <f>2200*10.34</f>
        <v>22748</v>
      </c>
      <c r="F3" s="38">
        <v>1862</v>
      </c>
      <c r="G3" s="38">
        <v>0</v>
      </c>
      <c r="H3" s="38">
        <f>900*10.34</f>
        <v>9306</v>
      </c>
      <c r="I3" s="38">
        <v>0</v>
      </c>
      <c r="J3" s="38">
        <v>3100</v>
      </c>
      <c r="K3" s="38">
        <f>E3+F3+H3+J3</f>
        <v>37016</v>
      </c>
      <c r="L3" s="3">
        <v>190114</v>
      </c>
      <c r="M3" s="3">
        <v>45000</v>
      </c>
      <c r="N3" s="30">
        <v>7984</v>
      </c>
      <c r="O3" s="5" t="s">
        <v>11</v>
      </c>
      <c r="Q3" s="16"/>
    </row>
    <row r="4" spans="1:26" x14ac:dyDescent="0.4">
      <c r="A4" s="19">
        <v>43454</v>
      </c>
      <c r="B4" s="19" t="s">
        <v>56</v>
      </c>
      <c r="C4" s="19" t="s">
        <v>27</v>
      </c>
      <c r="D4" s="20" t="s">
        <v>16</v>
      </c>
      <c r="E4" s="39">
        <v>43806</v>
      </c>
      <c r="F4" s="39">
        <v>1878</v>
      </c>
      <c r="G4" s="39">
        <v>0</v>
      </c>
      <c r="H4" s="39">
        <v>11056</v>
      </c>
      <c r="I4" s="39">
        <v>0</v>
      </c>
      <c r="J4" s="39">
        <v>3000</v>
      </c>
      <c r="K4" s="39">
        <f>E4+J4+H4+F4</f>
        <v>59740</v>
      </c>
      <c r="L4" s="11">
        <v>190103</v>
      </c>
      <c r="M4" s="11">
        <v>160000</v>
      </c>
      <c r="N4" s="31">
        <f>160000-3000-56740</f>
        <v>100260</v>
      </c>
      <c r="O4" s="11" t="s">
        <v>9</v>
      </c>
      <c r="P4" s="9"/>
      <c r="Q4" s="15"/>
    </row>
    <row r="5" spans="1:26" x14ac:dyDescent="0.4">
      <c r="A5" s="21" t="s">
        <v>12</v>
      </c>
      <c r="B5" s="22">
        <v>43462</v>
      </c>
      <c r="C5" s="22" t="s">
        <v>41</v>
      </c>
      <c r="D5" s="12" t="s">
        <v>13</v>
      </c>
      <c r="E5" s="40">
        <f>7700*10.4</f>
        <v>80080</v>
      </c>
      <c r="F5" s="40">
        <f>180*10.4</f>
        <v>1872</v>
      </c>
      <c r="G5" s="40">
        <f>10.4*200</f>
        <v>2080</v>
      </c>
      <c r="H5" s="40">
        <v>15361</v>
      </c>
      <c r="I5" s="41">
        <f>1350*10.4</f>
        <v>14040</v>
      </c>
      <c r="J5" s="40">
        <v>2900</v>
      </c>
      <c r="K5" s="40">
        <f>E5+F5+G5+H5+I5+J5</f>
        <v>116333</v>
      </c>
      <c r="L5" s="12">
        <v>190118</v>
      </c>
      <c r="M5" s="12">
        <v>160000</v>
      </c>
      <c r="N5" s="32">
        <f>160000-2900-113433</f>
        <v>43667</v>
      </c>
      <c r="O5" s="21" t="s">
        <v>100</v>
      </c>
      <c r="P5" s="12"/>
      <c r="Q5" s="16"/>
      <c r="U5" s="5"/>
      <c r="V5" s="5"/>
    </row>
    <row r="6" spans="1:26" x14ac:dyDescent="0.4">
      <c r="A6" s="9" t="s">
        <v>21</v>
      </c>
      <c r="B6" s="19" t="s">
        <v>57</v>
      </c>
      <c r="C6" s="19" t="s">
        <v>41</v>
      </c>
      <c r="D6" s="9" t="s">
        <v>17</v>
      </c>
      <c r="E6" s="42">
        <v>29726</v>
      </c>
      <c r="F6" s="42">
        <v>1878</v>
      </c>
      <c r="G6" s="42">
        <v>0</v>
      </c>
      <c r="H6" s="42">
        <v>7886</v>
      </c>
      <c r="I6" s="42">
        <v>0</v>
      </c>
      <c r="J6" s="42">
        <v>3100</v>
      </c>
      <c r="K6" s="42">
        <f>J6+H6+F6+E6</f>
        <v>42590</v>
      </c>
      <c r="L6" s="13">
        <v>190116</v>
      </c>
      <c r="M6" s="9">
        <v>150000</v>
      </c>
      <c r="N6" s="28">
        <f>150000-3100-39488</f>
        <v>107412</v>
      </c>
      <c r="O6" s="9" t="s">
        <v>9</v>
      </c>
      <c r="P6" s="9"/>
      <c r="Q6" s="15"/>
      <c r="R6" s="5"/>
      <c r="S6" s="5"/>
      <c r="T6" s="5"/>
      <c r="U6" s="5"/>
      <c r="V6" s="5"/>
    </row>
    <row r="7" spans="1:26" x14ac:dyDescent="0.4">
      <c r="A7" s="22" t="s">
        <v>22</v>
      </c>
      <c r="B7" s="22">
        <v>43474</v>
      </c>
      <c r="C7" s="22">
        <v>43481</v>
      </c>
      <c r="D7" s="12" t="s">
        <v>53</v>
      </c>
      <c r="E7" s="40">
        <f>4400*10.48</f>
        <v>46112</v>
      </c>
      <c r="F7" s="40">
        <v>1887</v>
      </c>
      <c r="G7" s="40">
        <f>10.48*200</f>
        <v>2096</v>
      </c>
      <c r="H7" s="40">
        <f>10.48*850</f>
        <v>8908</v>
      </c>
      <c r="I7" s="41">
        <f>10.48*2050</f>
        <v>21484</v>
      </c>
      <c r="J7" s="40">
        <v>2600</v>
      </c>
      <c r="K7" s="40">
        <f>E7+F7+G7+H7+I7+J7</f>
        <v>83087</v>
      </c>
      <c r="L7" s="13">
        <v>190117</v>
      </c>
      <c r="M7" s="12">
        <v>140000</v>
      </c>
      <c r="N7" s="32">
        <f>140000-2600-80487</f>
        <v>56913</v>
      </c>
      <c r="O7" s="12" t="s">
        <v>20</v>
      </c>
      <c r="P7" s="12"/>
      <c r="Q7" s="16"/>
      <c r="R7" s="7"/>
      <c r="S7" s="7"/>
      <c r="T7" s="7"/>
      <c r="U7" s="7"/>
    </row>
    <row r="8" spans="1:26" x14ac:dyDescent="0.4">
      <c r="A8" s="23" t="s">
        <v>23</v>
      </c>
      <c r="B8" s="23">
        <v>43474</v>
      </c>
      <c r="C8" s="23">
        <v>43481</v>
      </c>
      <c r="D8" s="13" t="s">
        <v>151</v>
      </c>
      <c r="E8" s="43">
        <f>1000*10.56</f>
        <v>10560</v>
      </c>
      <c r="F8" s="43">
        <v>4013</v>
      </c>
      <c r="G8" s="43">
        <v>0</v>
      </c>
      <c r="H8" s="43">
        <v>13000</v>
      </c>
      <c r="I8" s="43">
        <v>0</v>
      </c>
      <c r="J8" s="43">
        <v>2600</v>
      </c>
      <c r="K8" s="43">
        <f>E8+H8+F8+J8</f>
        <v>30173</v>
      </c>
      <c r="L8" s="13">
        <v>190117</v>
      </c>
      <c r="M8" s="13">
        <v>40000</v>
      </c>
      <c r="N8" s="33">
        <f>40000-2600-27573</f>
        <v>9827</v>
      </c>
      <c r="O8" s="13" t="s">
        <v>24</v>
      </c>
      <c r="P8" s="13"/>
      <c r="Q8" s="16"/>
      <c r="R8" s="7"/>
      <c r="S8" s="7"/>
      <c r="T8" s="7"/>
      <c r="U8" s="7"/>
    </row>
    <row r="9" spans="1:26" x14ac:dyDescent="0.4">
      <c r="A9" s="23" t="s">
        <v>23</v>
      </c>
      <c r="B9" s="23">
        <v>43474</v>
      </c>
      <c r="C9" s="23">
        <v>43481</v>
      </c>
      <c r="D9" s="13" t="s">
        <v>65</v>
      </c>
      <c r="E9" s="43">
        <f>1400*10.56</f>
        <v>14784</v>
      </c>
      <c r="F9" s="43">
        <v>4013</v>
      </c>
      <c r="G9" s="43">
        <v>0</v>
      </c>
      <c r="H9" s="43">
        <f>900*10.56</f>
        <v>9504</v>
      </c>
      <c r="I9" s="43">
        <v>0</v>
      </c>
      <c r="J9" s="43">
        <v>2400</v>
      </c>
      <c r="K9" s="43">
        <f>E9+H9+F9+J9</f>
        <v>30701</v>
      </c>
      <c r="L9" s="13">
        <v>190120</v>
      </c>
      <c r="M9" s="13">
        <v>38000</v>
      </c>
      <c r="N9" s="33">
        <f>M9-K9</f>
        <v>7299</v>
      </c>
      <c r="O9" s="13" t="s">
        <v>24</v>
      </c>
      <c r="P9" s="13"/>
      <c r="Q9" s="16"/>
    </row>
    <row r="10" spans="1:26" x14ac:dyDescent="0.4">
      <c r="A10" s="23" t="s">
        <v>128</v>
      </c>
      <c r="B10" s="23">
        <v>43474</v>
      </c>
      <c r="C10" s="23">
        <v>43481</v>
      </c>
      <c r="D10" s="13" t="s">
        <v>25</v>
      </c>
      <c r="E10" s="43">
        <f>1500*10.53</f>
        <v>15794.999999999998</v>
      </c>
      <c r="F10" s="43">
        <v>1896</v>
      </c>
      <c r="G10" s="43">
        <v>0</v>
      </c>
      <c r="H10" s="43">
        <v>11942</v>
      </c>
      <c r="I10" s="43">
        <v>0</v>
      </c>
      <c r="J10" s="43">
        <v>0</v>
      </c>
      <c r="K10" s="43">
        <f>H10+F10+E10</f>
        <v>29633</v>
      </c>
      <c r="L10" s="13">
        <v>190304</v>
      </c>
      <c r="M10" s="13">
        <v>50000</v>
      </c>
      <c r="N10" s="33">
        <f>M10-K10</f>
        <v>20367</v>
      </c>
      <c r="O10" s="13" t="s">
        <v>26</v>
      </c>
      <c r="P10" s="13"/>
      <c r="Q10" s="16"/>
    </row>
    <row r="11" spans="1:26" x14ac:dyDescent="0.4">
      <c r="A11" s="11" t="s">
        <v>27</v>
      </c>
      <c r="B11" s="19" t="s">
        <v>58</v>
      </c>
      <c r="C11" s="19">
        <v>43481</v>
      </c>
      <c r="D11" s="9" t="s">
        <v>28</v>
      </c>
      <c r="E11" s="42">
        <v>8542</v>
      </c>
      <c r="F11" s="42">
        <v>3578</v>
      </c>
      <c r="G11" s="42">
        <v>0</v>
      </c>
      <c r="H11" s="42">
        <v>9366</v>
      </c>
      <c r="I11" s="42">
        <v>0</v>
      </c>
      <c r="J11" s="42">
        <v>3100</v>
      </c>
      <c r="K11" s="42">
        <f>H11+F11+E11+J11</f>
        <v>24586</v>
      </c>
      <c r="L11" s="9">
        <v>190128</v>
      </c>
      <c r="M11" s="9">
        <v>50000</v>
      </c>
      <c r="N11" s="28">
        <f>M11-K11</f>
        <v>25414</v>
      </c>
      <c r="O11" s="9" t="s">
        <v>29</v>
      </c>
      <c r="P11" s="9"/>
      <c r="Q11" s="15"/>
    </row>
    <row r="12" spans="1:26" x14ac:dyDescent="0.4">
      <c r="A12" s="24" t="s">
        <v>33</v>
      </c>
      <c r="B12" s="12" t="s">
        <v>32</v>
      </c>
      <c r="C12" s="12" t="s">
        <v>45</v>
      </c>
      <c r="D12" s="25" t="s">
        <v>34</v>
      </c>
      <c r="E12" s="40">
        <f>3900*10.79</f>
        <v>42081</v>
      </c>
      <c r="F12" s="40">
        <f>180*10.79</f>
        <v>1942.1999999999998</v>
      </c>
      <c r="G12" s="40">
        <v>0</v>
      </c>
      <c r="H12" s="40">
        <f>873*10.79</f>
        <v>9419.67</v>
      </c>
      <c r="I12" s="40">
        <v>0</v>
      </c>
      <c r="J12" s="40">
        <v>2400</v>
      </c>
      <c r="K12" s="40">
        <f>53443+2400</f>
        <v>55843</v>
      </c>
      <c r="L12" s="12">
        <v>190206</v>
      </c>
      <c r="M12" s="12">
        <v>80000</v>
      </c>
      <c r="N12" s="32">
        <f>M12-K12</f>
        <v>24157</v>
      </c>
      <c r="O12" s="12" t="s">
        <v>31</v>
      </c>
      <c r="P12" s="12"/>
      <c r="Q12" s="16"/>
      <c r="R12" s="5"/>
      <c r="S12" s="5"/>
      <c r="T12" s="5"/>
      <c r="U12" s="5"/>
      <c r="V12" s="5"/>
      <c r="W12" s="5"/>
    </row>
    <row r="13" spans="1:26" x14ac:dyDescent="0.4">
      <c r="A13" s="23" t="s">
        <v>33</v>
      </c>
      <c r="B13" s="13" t="s">
        <v>32</v>
      </c>
      <c r="C13" s="13" t="s">
        <v>45</v>
      </c>
      <c r="D13" s="26" t="s">
        <v>35</v>
      </c>
      <c r="E13" s="44">
        <f>2500*10.79</f>
        <v>26974.999999999996</v>
      </c>
      <c r="F13" s="43">
        <v>1942.2</v>
      </c>
      <c r="G13" s="44">
        <f>100*10.79</f>
        <v>1079</v>
      </c>
      <c r="H13" s="44">
        <f>800*10.79</f>
        <v>8632</v>
      </c>
      <c r="I13" s="45">
        <f>1650*10.79</f>
        <v>17803.5</v>
      </c>
      <c r="J13" s="44">
        <v>2900</v>
      </c>
      <c r="K13" s="44">
        <f>56432+J13</f>
        <v>59332</v>
      </c>
      <c r="L13" s="13">
        <v>190508</v>
      </c>
      <c r="M13" s="13">
        <v>72000</v>
      </c>
      <c r="N13" s="33">
        <f>M13-K13</f>
        <v>12668</v>
      </c>
      <c r="O13" s="13" t="s">
        <v>31</v>
      </c>
      <c r="P13" s="13"/>
      <c r="Q13" s="16"/>
      <c r="R13" s="5"/>
      <c r="S13" s="5"/>
      <c r="T13" s="5"/>
      <c r="U13" s="5"/>
      <c r="V13" s="5"/>
      <c r="W13" s="5"/>
    </row>
    <row r="14" spans="1:26" x14ac:dyDescent="0.4">
      <c r="A14" s="19" t="s">
        <v>36</v>
      </c>
      <c r="B14" s="9" t="s">
        <v>54</v>
      </c>
      <c r="C14" s="9" t="s">
        <v>45</v>
      </c>
      <c r="D14" s="9" t="s">
        <v>37</v>
      </c>
      <c r="E14" s="46">
        <f>5330*10.7</f>
        <v>57030.999999999993</v>
      </c>
      <c r="F14" s="47">
        <f>180*10.7</f>
        <v>1925.9999999999998</v>
      </c>
      <c r="G14" s="47">
        <v>0</v>
      </c>
      <c r="H14" s="47">
        <f>1000*10.7</f>
        <v>10700</v>
      </c>
      <c r="I14" s="47">
        <v>0</v>
      </c>
      <c r="J14" s="47">
        <v>2400</v>
      </c>
      <c r="K14" s="47">
        <f>H14+F14+E14+J14</f>
        <v>72057</v>
      </c>
      <c r="L14" s="9">
        <v>190213</v>
      </c>
      <c r="M14" s="9">
        <v>113000</v>
      </c>
      <c r="N14" s="28">
        <f t="shared" ref="N14:N20" si="0">M14-K14</f>
        <v>40943</v>
      </c>
      <c r="O14" s="9" t="s">
        <v>38</v>
      </c>
      <c r="P14" s="9"/>
      <c r="Q14" s="15"/>
      <c r="R14" s="5"/>
      <c r="S14" s="5"/>
      <c r="T14" s="5"/>
      <c r="U14" s="5"/>
      <c r="V14" s="5"/>
      <c r="W14" s="5"/>
    </row>
    <row r="15" spans="1:26" x14ac:dyDescent="0.4">
      <c r="A15" s="22" t="s">
        <v>51</v>
      </c>
      <c r="B15" s="12" t="s">
        <v>39</v>
      </c>
      <c r="C15" s="12" t="s">
        <v>46</v>
      </c>
      <c r="D15" s="12" t="s">
        <v>52</v>
      </c>
      <c r="E15" s="48">
        <f>3700*10.67</f>
        <v>39479</v>
      </c>
      <c r="F15" s="48">
        <v>1921</v>
      </c>
      <c r="G15" s="48">
        <v>0</v>
      </c>
      <c r="H15" s="48">
        <v>12591</v>
      </c>
      <c r="I15" s="48">
        <v>0</v>
      </c>
      <c r="J15" s="48">
        <v>5800</v>
      </c>
      <c r="K15" s="48">
        <f>53991+5800</f>
        <v>59791</v>
      </c>
      <c r="L15" s="13">
        <v>190208</v>
      </c>
      <c r="M15" s="12">
        <v>133000</v>
      </c>
      <c r="N15" s="32">
        <f t="shared" si="0"/>
        <v>73209</v>
      </c>
      <c r="O15" s="12" t="s">
        <v>49</v>
      </c>
      <c r="P15" s="12"/>
      <c r="Q15" s="16"/>
    </row>
    <row r="16" spans="1:26" x14ac:dyDescent="0.4">
      <c r="A16" s="23" t="s">
        <v>44</v>
      </c>
      <c r="B16" s="13" t="s">
        <v>39</v>
      </c>
      <c r="C16" s="13" t="s">
        <v>46</v>
      </c>
      <c r="D16" s="13" t="s">
        <v>50</v>
      </c>
      <c r="E16" s="44">
        <f>5000*10.67</f>
        <v>53350</v>
      </c>
      <c r="F16" s="44">
        <v>1921</v>
      </c>
      <c r="G16" s="44">
        <v>0</v>
      </c>
      <c r="H16" s="44">
        <v>12164</v>
      </c>
      <c r="I16" s="44">
        <v>0</v>
      </c>
      <c r="J16" s="44">
        <v>2900</v>
      </c>
      <c r="K16" s="44">
        <f>H16+F16+E16</f>
        <v>67435</v>
      </c>
      <c r="L16" s="13">
        <v>190208</v>
      </c>
      <c r="M16" s="13">
        <v>155000</v>
      </c>
      <c r="N16" s="33">
        <f t="shared" si="0"/>
        <v>87565</v>
      </c>
      <c r="O16" s="13" t="s">
        <v>49</v>
      </c>
      <c r="P16" s="13"/>
      <c r="Q16" s="16"/>
    </row>
    <row r="17" spans="1:26" x14ac:dyDescent="0.4">
      <c r="A17" s="19" t="s">
        <v>40</v>
      </c>
      <c r="B17" s="9" t="s">
        <v>55</v>
      </c>
      <c r="C17" s="9" t="s">
        <v>46</v>
      </c>
      <c r="D17" s="9" t="s">
        <v>47</v>
      </c>
      <c r="E17" s="47">
        <f>3000*10.69</f>
        <v>32070</v>
      </c>
      <c r="F17" s="47">
        <v>1925</v>
      </c>
      <c r="G17" s="47">
        <f>200*10.69</f>
        <v>2138</v>
      </c>
      <c r="H17" s="47">
        <v>9333</v>
      </c>
      <c r="I17" s="49">
        <v>18708</v>
      </c>
      <c r="J17" s="47">
        <v>6900</v>
      </c>
      <c r="K17" s="47">
        <f>I17+H17+G17+F17+E17</f>
        <v>64174</v>
      </c>
      <c r="L17" s="9">
        <v>190303</v>
      </c>
      <c r="M17" s="9">
        <v>110000</v>
      </c>
      <c r="N17" s="28">
        <f t="shared" si="0"/>
        <v>45826</v>
      </c>
      <c r="O17" s="9" t="s">
        <v>48</v>
      </c>
      <c r="P17" s="9"/>
      <c r="Q17" s="15"/>
    </row>
    <row r="18" spans="1:26" x14ac:dyDescent="0.4">
      <c r="A18" s="22" t="s">
        <v>42</v>
      </c>
      <c r="B18" s="12" t="s">
        <v>59</v>
      </c>
      <c r="C18" s="12" t="s">
        <v>62</v>
      </c>
      <c r="D18" s="12" t="s">
        <v>63</v>
      </c>
      <c r="E18" s="48">
        <v>52888</v>
      </c>
      <c r="F18" s="48">
        <v>1912</v>
      </c>
      <c r="G18" s="48">
        <f>10.62*200</f>
        <v>2124</v>
      </c>
      <c r="H18" s="48">
        <f>10.62*700</f>
        <v>7433.9999999999991</v>
      </c>
      <c r="I18" s="50">
        <f>1450*10.62</f>
        <v>15398.999999999998</v>
      </c>
      <c r="J18" s="48">
        <v>2900</v>
      </c>
      <c r="K18" s="48">
        <f>J18+I18+H18+G18+F18+E18</f>
        <v>82657</v>
      </c>
      <c r="L18" s="12">
        <v>190227</v>
      </c>
      <c r="M18" s="12">
        <v>120000</v>
      </c>
      <c r="N18" s="32">
        <f t="shared" si="0"/>
        <v>37343</v>
      </c>
      <c r="O18" s="12" t="s">
        <v>64</v>
      </c>
      <c r="P18" s="12"/>
      <c r="Q18" s="16"/>
      <c r="R18" s="5"/>
      <c r="S18" s="5"/>
      <c r="T18" s="5"/>
      <c r="U18" s="5"/>
      <c r="V18" s="5"/>
      <c r="W18" s="5"/>
      <c r="X18" s="5"/>
    </row>
    <row r="19" spans="1:26" x14ac:dyDescent="0.4">
      <c r="A19" s="23" t="s">
        <v>60</v>
      </c>
      <c r="B19" s="13" t="s">
        <v>59</v>
      </c>
      <c r="C19" s="13" t="s">
        <v>62</v>
      </c>
      <c r="D19" s="13" t="s">
        <v>52</v>
      </c>
      <c r="E19" s="44">
        <f>3500*10.62</f>
        <v>37170</v>
      </c>
      <c r="F19" s="44">
        <f>180*10.62</f>
        <v>1911.6</v>
      </c>
      <c r="G19" s="44">
        <v>0</v>
      </c>
      <c r="H19" s="44">
        <f>10.62*1720</f>
        <v>18266.399999999998</v>
      </c>
      <c r="I19" s="44">
        <v>0</v>
      </c>
      <c r="J19" s="44">
        <v>6700</v>
      </c>
      <c r="K19" s="44">
        <f>H19+F19+E19+J19</f>
        <v>64048</v>
      </c>
      <c r="L19" s="13">
        <v>190326</v>
      </c>
      <c r="M19" s="13">
        <v>60000</v>
      </c>
      <c r="N19" s="33">
        <f t="shared" si="0"/>
        <v>-4048</v>
      </c>
      <c r="O19" s="13" t="s">
        <v>64</v>
      </c>
      <c r="P19" s="13"/>
      <c r="Q19" s="16"/>
      <c r="R19" s="5"/>
      <c r="S19" s="5"/>
      <c r="T19" s="5"/>
      <c r="U19" s="5"/>
      <c r="V19" s="5"/>
      <c r="W19" s="5"/>
      <c r="X19" s="5"/>
    </row>
    <row r="20" spans="1:26" x14ac:dyDescent="0.4">
      <c r="A20" s="19" t="s">
        <v>60</v>
      </c>
      <c r="B20" s="9" t="s">
        <v>61</v>
      </c>
      <c r="C20" s="9" t="s">
        <v>62</v>
      </c>
      <c r="D20" s="9" t="s">
        <v>74</v>
      </c>
      <c r="E20" s="47">
        <f>3500*10.62</f>
        <v>37170</v>
      </c>
      <c r="F20" s="47">
        <v>1911.6</v>
      </c>
      <c r="G20" s="47">
        <v>0</v>
      </c>
      <c r="H20" s="47">
        <f>800*10.62</f>
        <v>8496</v>
      </c>
      <c r="I20" s="47">
        <v>0</v>
      </c>
      <c r="J20" s="47">
        <v>3100</v>
      </c>
      <c r="K20" s="47">
        <v>50678</v>
      </c>
      <c r="L20" s="9">
        <v>190327</v>
      </c>
      <c r="M20" s="9">
        <v>64000</v>
      </c>
      <c r="N20" s="28">
        <f t="shared" si="0"/>
        <v>13322</v>
      </c>
      <c r="O20" s="9" t="s">
        <v>64</v>
      </c>
      <c r="P20" s="9"/>
      <c r="Q20" s="15"/>
      <c r="R20" s="5"/>
      <c r="S20" s="5"/>
      <c r="T20" s="5"/>
      <c r="U20" s="5"/>
      <c r="V20" s="5"/>
      <c r="W20" s="5"/>
      <c r="X20" s="5"/>
    </row>
    <row r="21" spans="1:26" x14ac:dyDescent="0.4">
      <c r="A21" s="5" t="s">
        <v>42</v>
      </c>
      <c r="B21" s="5" t="s">
        <v>67</v>
      </c>
      <c r="C21" s="5" t="s">
        <v>68</v>
      </c>
      <c r="D21" s="5" t="s">
        <v>77</v>
      </c>
      <c r="E21" s="51">
        <f>3024*10.62</f>
        <v>32114.879999999997</v>
      </c>
      <c r="F21" s="51">
        <f>180*10.62</f>
        <v>1911.6</v>
      </c>
      <c r="G21" s="51">
        <v>0</v>
      </c>
      <c r="H21" s="51">
        <f>900*10.62</f>
        <v>9558</v>
      </c>
      <c r="I21" s="51">
        <v>0</v>
      </c>
      <c r="J21" s="51"/>
      <c r="K21" s="51">
        <v>43585</v>
      </c>
      <c r="L21" s="3"/>
      <c r="M21" s="3">
        <v>0</v>
      </c>
      <c r="N21" s="30">
        <v>-43585</v>
      </c>
      <c r="O21" s="3" t="s">
        <v>64</v>
      </c>
      <c r="P21" s="14"/>
      <c r="Q21" s="16"/>
    </row>
    <row r="22" spans="1:26" x14ac:dyDescent="0.4">
      <c r="A22" s="5" t="s">
        <v>60</v>
      </c>
      <c r="B22" s="5" t="s">
        <v>67</v>
      </c>
      <c r="C22" s="5" t="s">
        <v>68</v>
      </c>
      <c r="D22" s="5" t="s">
        <v>76</v>
      </c>
      <c r="E22" s="51">
        <f>1700*10.62</f>
        <v>18054</v>
      </c>
      <c r="F22" s="51">
        <f>330*10.62</f>
        <v>3504.6</v>
      </c>
      <c r="G22" s="51">
        <v>0</v>
      </c>
      <c r="H22" s="51">
        <f>1361*10.62</f>
        <v>14453.82</v>
      </c>
      <c r="I22" s="51">
        <v>0</v>
      </c>
      <c r="J22" s="51">
        <v>3300</v>
      </c>
      <c r="K22" s="51">
        <v>39313</v>
      </c>
      <c r="L22" s="3">
        <v>190314</v>
      </c>
      <c r="M22" s="3">
        <v>75000</v>
      </c>
      <c r="N22" s="30">
        <f t="shared" ref="N22:N27" si="1">M22-K22</f>
        <v>35687</v>
      </c>
      <c r="O22" s="3" t="s">
        <v>64</v>
      </c>
      <c r="Q22" s="16"/>
    </row>
    <row r="23" spans="1:26" x14ac:dyDescent="0.4">
      <c r="A23" s="18" t="s">
        <v>78</v>
      </c>
      <c r="B23" s="5" t="s">
        <v>67</v>
      </c>
      <c r="C23" s="5" t="s">
        <v>68</v>
      </c>
      <c r="D23" s="5" t="s">
        <v>73</v>
      </c>
      <c r="E23" s="51">
        <f>1100*10.65</f>
        <v>11715</v>
      </c>
      <c r="F23" s="51">
        <f>280*10.65</f>
        <v>2982</v>
      </c>
      <c r="G23" s="51">
        <v>0</v>
      </c>
      <c r="H23" s="51">
        <f>1010*10.65</f>
        <v>10756.5</v>
      </c>
      <c r="I23" s="51">
        <v>0</v>
      </c>
      <c r="J23" s="51">
        <v>2900</v>
      </c>
      <c r="K23" s="51">
        <f>25454+2900</f>
        <v>28354</v>
      </c>
      <c r="L23" s="3">
        <v>190921</v>
      </c>
      <c r="M23" s="3">
        <v>35000</v>
      </c>
      <c r="N23" s="30">
        <f t="shared" si="1"/>
        <v>6646</v>
      </c>
      <c r="O23" s="3" t="s">
        <v>75</v>
      </c>
      <c r="Q23" s="16"/>
    </row>
    <row r="24" spans="1:26" x14ac:dyDescent="0.4">
      <c r="A24" s="18" t="s">
        <v>59</v>
      </c>
      <c r="B24" s="5" t="s">
        <v>67</v>
      </c>
      <c r="C24" s="5" t="s">
        <v>68</v>
      </c>
      <c r="D24" s="5" t="s">
        <v>71</v>
      </c>
      <c r="E24" s="51">
        <f>1000*10.61</f>
        <v>10610</v>
      </c>
      <c r="F24" s="51">
        <f>280*10.61</f>
        <v>2970.7999999999997</v>
      </c>
      <c r="G24" s="51">
        <v>0</v>
      </c>
      <c r="H24" s="51">
        <f>1040*10.61</f>
        <v>11034.4</v>
      </c>
      <c r="I24" s="51">
        <v>0</v>
      </c>
      <c r="J24" s="51">
        <v>0</v>
      </c>
      <c r="K24" s="51">
        <v>24616</v>
      </c>
      <c r="L24" s="9">
        <v>190925</v>
      </c>
      <c r="M24" s="3">
        <v>26000</v>
      </c>
      <c r="N24" s="30">
        <f t="shared" si="1"/>
        <v>1384</v>
      </c>
      <c r="O24" s="3" t="s">
        <v>69</v>
      </c>
      <c r="Q24" s="16"/>
    </row>
    <row r="25" spans="1:26" x14ac:dyDescent="0.4">
      <c r="A25" s="19" t="s">
        <v>66</v>
      </c>
      <c r="B25" s="9" t="s">
        <v>92</v>
      </c>
      <c r="C25" s="9" t="s">
        <v>68</v>
      </c>
      <c r="D25" s="9" t="s">
        <v>72</v>
      </c>
      <c r="E25" s="47">
        <f>2050*10.61</f>
        <v>21750.5</v>
      </c>
      <c r="F25" s="47">
        <f>180*10.61</f>
        <v>1909.8</v>
      </c>
      <c r="G25" s="47">
        <f>2000*10.61</f>
        <v>21220</v>
      </c>
      <c r="H25" s="47">
        <f>1672*10.61</f>
        <v>17739.919999999998</v>
      </c>
      <c r="I25" s="49">
        <f>2250*10.61</f>
        <v>23872.5</v>
      </c>
      <c r="J25" s="47">
        <v>2400</v>
      </c>
      <c r="K25" s="47">
        <f>86493+2400</f>
        <v>88893</v>
      </c>
      <c r="L25" s="9">
        <v>190820</v>
      </c>
      <c r="M25" s="9">
        <v>90000</v>
      </c>
      <c r="N25" s="28">
        <f t="shared" si="1"/>
        <v>1107</v>
      </c>
      <c r="O25" s="9" t="s">
        <v>69</v>
      </c>
      <c r="P25" s="9"/>
      <c r="Q25" s="15"/>
    </row>
    <row r="26" spans="1:26" x14ac:dyDescent="0.4">
      <c r="A26" s="18" t="s">
        <v>91</v>
      </c>
      <c r="B26" s="5" t="s">
        <v>93</v>
      </c>
      <c r="C26" s="5" t="s">
        <v>94</v>
      </c>
      <c r="D26" s="5" t="s">
        <v>47</v>
      </c>
      <c r="E26" s="51">
        <f>1000*10.61</f>
        <v>10610</v>
      </c>
      <c r="F26" s="51">
        <f>180*10.61</f>
        <v>1909.8</v>
      </c>
      <c r="G26" s="51">
        <f>200*10.61</f>
        <v>2122</v>
      </c>
      <c r="H26" s="51">
        <f>10.61*1435</f>
        <v>15225.349999999999</v>
      </c>
      <c r="I26" s="51">
        <f>10.61*2050</f>
        <v>21750.5</v>
      </c>
      <c r="J26" s="51">
        <v>2900</v>
      </c>
      <c r="K26" s="51">
        <v>54518</v>
      </c>
      <c r="L26" s="3">
        <v>190804</v>
      </c>
      <c r="M26" s="3">
        <v>85000</v>
      </c>
      <c r="N26" s="30">
        <f t="shared" si="1"/>
        <v>30482</v>
      </c>
      <c r="O26" s="5" t="s">
        <v>69</v>
      </c>
      <c r="Q26" s="16"/>
      <c r="R26" s="4"/>
      <c r="S26" s="4"/>
      <c r="T26" s="5"/>
      <c r="U26" s="5"/>
      <c r="V26" s="5"/>
      <c r="W26" s="5"/>
      <c r="X26" s="5"/>
      <c r="Y26" s="5"/>
      <c r="Z26" s="5"/>
    </row>
    <row r="27" spans="1:26" x14ac:dyDescent="0.4">
      <c r="A27" s="18" t="s">
        <v>96</v>
      </c>
      <c r="B27" s="5" t="s">
        <v>93</v>
      </c>
      <c r="C27" s="5" t="s">
        <v>94</v>
      </c>
      <c r="D27" s="5" t="s">
        <v>97</v>
      </c>
      <c r="E27" s="51">
        <f>2000*10.61</f>
        <v>21220</v>
      </c>
      <c r="F27" s="51">
        <f>180*10.61</f>
        <v>1909.8</v>
      </c>
      <c r="G27" s="51">
        <v>0</v>
      </c>
      <c r="H27" s="51">
        <f>1200*10.61</f>
        <v>12732</v>
      </c>
      <c r="I27" s="51">
        <v>0</v>
      </c>
      <c r="J27" s="51"/>
      <c r="K27" s="51">
        <f>J27+H27+F27+E27</f>
        <v>35861.800000000003</v>
      </c>
      <c r="L27" s="3"/>
      <c r="M27" s="3"/>
      <c r="N27" s="30">
        <f t="shared" si="1"/>
        <v>-35861.800000000003</v>
      </c>
      <c r="O27" s="5" t="s">
        <v>69</v>
      </c>
      <c r="Q27" s="16"/>
      <c r="R27" s="4"/>
      <c r="S27" s="4"/>
      <c r="T27" s="5"/>
      <c r="U27" s="5"/>
      <c r="V27" s="5"/>
      <c r="W27" s="5"/>
      <c r="X27" s="5"/>
      <c r="Y27" s="5"/>
      <c r="Z27" s="5"/>
    </row>
    <row r="28" spans="1:26" x14ac:dyDescent="0.4">
      <c r="A28" s="18" t="s">
        <v>96</v>
      </c>
      <c r="B28" s="5" t="s">
        <v>93</v>
      </c>
      <c r="C28" s="5" t="s">
        <v>94</v>
      </c>
      <c r="D28" s="5" t="s">
        <v>98</v>
      </c>
      <c r="E28" s="51">
        <f>1990*10.61</f>
        <v>21113.899999999998</v>
      </c>
      <c r="F28" s="51">
        <f>180*10.61+100*10.61</f>
        <v>2970.8</v>
      </c>
      <c r="G28" s="51">
        <v>0</v>
      </c>
      <c r="H28" s="51">
        <f>500*10.61</f>
        <v>5305</v>
      </c>
      <c r="I28" s="51">
        <v>0</v>
      </c>
      <c r="J28" s="51">
        <v>0</v>
      </c>
      <c r="K28" s="51">
        <f>J28+H28+F28+E28</f>
        <v>29389.699999999997</v>
      </c>
      <c r="L28" s="3">
        <v>190829</v>
      </c>
      <c r="M28" s="3">
        <v>45000</v>
      </c>
      <c r="N28" s="30">
        <v>15611</v>
      </c>
      <c r="O28" s="5" t="s">
        <v>69</v>
      </c>
      <c r="Q28" s="16"/>
      <c r="R28" s="4"/>
      <c r="S28" s="4"/>
      <c r="T28" s="5"/>
      <c r="U28" s="5"/>
      <c r="V28" s="5"/>
      <c r="W28" s="5"/>
      <c r="X28" s="5"/>
      <c r="Y28" s="5"/>
      <c r="Z28" s="5"/>
    </row>
    <row r="29" spans="1:26" x14ac:dyDescent="0.4">
      <c r="A29" s="5" t="s">
        <v>96</v>
      </c>
      <c r="B29" s="5" t="s">
        <v>93</v>
      </c>
      <c r="C29" s="5" t="s">
        <v>94</v>
      </c>
      <c r="D29" s="5" t="s">
        <v>101</v>
      </c>
      <c r="E29" s="51">
        <f>1873*10.61</f>
        <v>19872.53</v>
      </c>
      <c r="F29" s="51">
        <f>180*10.61+100*10.61</f>
        <v>2970.8</v>
      </c>
      <c r="G29" s="51">
        <v>0</v>
      </c>
      <c r="H29" s="51">
        <f>620*10.61</f>
        <v>6578.2</v>
      </c>
      <c r="I29" s="51">
        <v>0</v>
      </c>
      <c r="J29" s="51">
        <v>0</v>
      </c>
      <c r="K29" s="51">
        <f>J29+H29+F29+E29</f>
        <v>29421.53</v>
      </c>
      <c r="L29" s="3">
        <v>190829</v>
      </c>
      <c r="M29" s="3">
        <v>42000</v>
      </c>
      <c r="N29" s="30">
        <v>12579</v>
      </c>
      <c r="O29" s="5" t="s">
        <v>69</v>
      </c>
      <c r="Q29" s="16"/>
      <c r="R29" s="4"/>
      <c r="S29" s="4"/>
      <c r="T29" s="5"/>
      <c r="U29" s="5"/>
      <c r="V29" s="5"/>
      <c r="W29" s="5"/>
      <c r="X29" s="5"/>
      <c r="Y29" s="5"/>
      <c r="Z29" s="5"/>
    </row>
    <row r="30" spans="1:26" x14ac:dyDescent="0.4">
      <c r="A30" s="9" t="s">
        <v>68</v>
      </c>
      <c r="B30" s="9" t="s">
        <v>93</v>
      </c>
      <c r="C30" s="9" t="s">
        <v>94</v>
      </c>
      <c r="D30" s="9" t="s">
        <v>102</v>
      </c>
      <c r="E30" s="47">
        <f>864*10.46</f>
        <v>9037.44</v>
      </c>
      <c r="F30" s="47">
        <f>180*10.61+100*10.61</f>
        <v>2970.8</v>
      </c>
      <c r="G30" s="47">
        <v>0</v>
      </c>
      <c r="H30" s="47">
        <f>800*10.61</f>
        <v>8488</v>
      </c>
      <c r="I30" s="47">
        <v>0</v>
      </c>
      <c r="J30" s="47">
        <v>0</v>
      </c>
      <c r="K30" s="47">
        <f>H30+F30+E30</f>
        <v>20496.239999999998</v>
      </c>
      <c r="L30" s="9">
        <v>191127</v>
      </c>
      <c r="M30" s="9">
        <v>100000</v>
      </c>
      <c r="N30" s="28">
        <f>M30-K30-15000</f>
        <v>64503.760000000009</v>
      </c>
      <c r="O30" s="9" t="s">
        <v>103</v>
      </c>
      <c r="P30" s="9"/>
      <c r="Q30" s="15"/>
      <c r="R30" s="4"/>
      <c r="S30" s="4"/>
      <c r="T30" s="5"/>
      <c r="U30" s="5"/>
      <c r="V30" s="5"/>
      <c r="W30" s="5"/>
      <c r="X30" s="5"/>
      <c r="Y30" s="5"/>
      <c r="Z30" s="5"/>
    </row>
    <row r="31" spans="1:26" x14ac:dyDescent="0.4">
      <c r="A31" s="14" t="s">
        <v>132</v>
      </c>
      <c r="B31" s="5" t="s">
        <v>129</v>
      </c>
      <c r="C31" s="5" t="s">
        <v>133</v>
      </c>
      <c r="D31" s="14" t="s">
        <v>134</v>
      </c>
      <c r="E31" s="52">
        <f>3278*11.14</f>
        <v>36516.92</v>
      </c>
      <c r="F31" s="53">
        <f>340*11.14</f>
        <v>3787.6000000000004</v>
      </c>
      <c r="G31" s="51">
        <v>0</v>
      </c>
      <c r="H31" s="52">
        <f>1600*11.14</f>
        <v>17824</v>
      </c>
      <c r="I31" s="51">
        <v>0</v>
      </c>
      <c r="J31" s="53">
        <v>0</v>
      </c>
      <c r="K31" s="52">
        <f>E31+F31+H31</f>
        <v>58128.52</v>
      </c>
      <c r="L31" s="5">
        <v>200118</v>
      </c>
      <c r="M31" s="5">
        <v>90000</v>
      </c>
      <c r="N31" s="30">
        <f>M31-K31-15900</f>
        <v>15971.480000000003</v>
      </c>
      <c r="O31" s="14" t="s">
        <v>138</v>
      </c>
      <c r="Q31" s="16"/>
      <c r="R31" s="5"/>
      <c r="S31" s="5"/>
      <c r="T31" s="5"/>
      <c r="U31" s="5"/>
      <c r="V31" s="5"/>
      <c r="W31" s="5"/>
      <c r="X31" s="5"/>
      <c r="Y31" s="5"/>
      <c r="Z31" s="5"/>
    </row>
    <row r="32" spans="1:26" x14ac:dyDescent="0.4">
      <c r="A32" s="14" t="s">
        <v>132</v>
      </c>
      <c r="B32" s="5" t="s">
        <v>129</v>
      </c>
      <c r="C32" s="5" t="s">
        <v>133</v>
      </c>
      <c r="D32" s="14" t="s">
        <v>135</v>
      </c>
      <c r="E32" s="52">
        <f>3086*11.14</f>
        <v>34378.04</v>
      </c>
      <c r="F32" s="52">
        <v>0</v>
      </c>
      <c r="G32" s="51">
        <v>0</v>
      </c>
      <c r="H32" s="52">
        <v>0</v>
      </c>
      <c r="I32" s="51">
        <v>0</v>
      </c>
      <c r="J32" s="53">
        <v>0</v>
      </c>
      <c r="K32" s="51">
        <v>34379</v>
      </c>
      <c r="L32" s="5">
        <v>200107</v>
      </c>
      <c r="M32" s="5">
        <v>95000</v>
      </c>
      <c r="N32" s="30">
        <f>M32-K32-30000</f>
        <v>30621</v>
      </c>
      <c r="O32" s="14" t="s">
        <v>138</v>
      </c>
      <c r="Q32" s="16"/>
    </row>
    <row r="33" spans="1:17" x14ac:dyDescent="0.4">
      <c r="A33" s="14" t="s">
        <v>132</v>
      </c>
      <c r="B33" s="13" t="s">
        <v>129</v>
      </c>
      <c r="C33" s="13" t="s">
        <v>133</v>
      </c>
      <c r="D33" s="14" t="s">
        <v>136</v>
      </c>
      <c r="E33" s="52">
        <f>2379*11.14</f>
        <v>26502.06</v>
      </c>
      <c r="F33" s="52">
        <f>240*11.14</f>
        <v>2673.6000000000004</v>
      </c>
      <c r="G33" s="52">
        <f>500*11.14</f>
        <v>5570</v>
      </c>
      <c r="H33" s="52">
        <f>680*11.14</f>
        <v>7575.2000000000007</v>
      </c>
      <c r="I33" s="52">
        <f>2400*11.14</f>
        <v>26736</v>
      </c>
      <c r="J33" s="53">
        <v>0</v>
      </c>
      <c r="K33" s="52">
        <v>69057</v>
      </c>
      <c r="L33" s="5">
        <v>201018</v>
      </c>
      <c r="M33" s="5">
        <v>95000</v>
      </c>
      <c r="N33" s="30">
        <f>M33-K33</f>
        <v>25943</v>
      </c>
      <c r="O33" s="14" t="s">
        <v>138</v>
      </c>
      <c r="Q33" s="16"/>
    </row>
    <row r="34" spans="1:17" x14ac:dyDescent="0.4">
      <c r="A34" s="14" t="s">
        <v>132</v>
      </c>
      <c r="B34" s="13" t="s">
        <v>129</v>
      </c>
      <c r="C34" s="13" t="s">
        <v>133</v>
      </c>
      <c r="D34" s="14" t="s">
        <v>152</v>
      </c>
      <c r="E34" s="52">
        <f>1000*11.14</f>
        <v>11140</v>
      </c>
      <c r="F34" s="52">
        <f>340*11.14</f>
        <v>3787.6000000000004</v>
      </c>
      <c r="G34" s="51">
        <v>0</v>
      </c>
      <c r="H34" s="52">
        <f>870*11.14</f>
        <v>9691.8000000000011</v>
      </c>
      <c r="I34" s="51">
        <v>0</v>
      </c>
      <c r="J34" s="52">
        <v>0</v>
      </c>
      <c r="K34" s="52">
        <v>24620</v>
      </c>
      <c r="L34" s="5">
        <v>191213</v>
      </c>
      <c r="M34" s="5">
        <v>95000</v>
      </c>
      <c r="N34" s="30">
        <f>M34-K34-35000</f>
        <v>35380</v>
      </c>
      <c r="O34" s="14" t="s">
        <v>138</v>
      </c>
      <c r="Q34" s="16"/>
    </row>
    <row r="35" spans="1:17" x14ac:dyDescent="0.4">
      <c r="A35" s="27" t="s">
        <v>132</v>
      </c>
      <c r="B35" s="9" t="s">
        <v>129</v>
      </c>
      <c r="C35" s="9" t="s">
        <v>133</v>
      </c>
      <c r="D35" s="27" t="s">
        <v>137</v>
      </c>
      <c r="E35" s="47">
        <f>388*11.14</f>
        <v>4322.3200000000006</v>
      </c>
      <c r="F35" s="47">
        <f>340*11.14</f>
        <v>3787.6000000000004</v>
      </c>
      <c r="G35" s="47">
        <v>0</v>
      </c>
      <c r="H35" s="47">
        <f>700*11.14</f>
        <v>7798</v>
      </c>
      <c r="I35" s="47">
        <v>0</v>
      </c>
      <c r="J35" s="54">
        <v>0</v>
      </c>
      <c r="K35" s="47">
        <f>H35+F35+E35</f>
        <v>15907.920000000002</v>
      </c>
      <c r="L35" s="9">
        <v>200106</v>
      </c>
      <c r="M35" s="9">
        <v>55000</v>
      </c>
      <c r="N35" s="28">
        <f>M35-K35-19500</f>
        <v>19592.080000000002</v>
      </c>
      <c r="O35" s="27" t="s">
        <v>138</v>
      </c>
      <c r="P35" s="9"/>
      <c r="Q35" s="15"/>
    </row>
    <row r="36" spans="1:17" x14ac:dyDescent="0.4">
      <c r="A36" s="5" t="s">
        <v>127</v>
      </c>
      <c r="B36" s="13" t="s">
        <v>129</v>
      </c>
      <c r="C36" s="13" t="s">
        <v>125</v>
      </c>
      <c r="D36" s="5" t="s">
        <v>37</v>
      </c>
      <c r="E36" s="51">
        <f>4400*11.2</f>
        <v>49280</v>
      </c>
      <c r="F36" s="51">
        <f>340*11.2</f>
        <v>3807.9999999999995</v>
      </c>
      <c r="G36" s="51">
        <v>0</v>
      </c>
      <c r="H36" s="51">
        <f>1260*11.2</f>
        <v>14112</v>
      </c>
      <c r="I36" s="51">
        <v>0</v>
      </c>
      <c r="J36" s="51">
        <v>0</v>
      </c>
      <c r="K36" s="51">
        <f>H36+F36+E36</f>
        <v>67200</v>
      </c>
      <c r="L36" s="3">
        <v>191127</v>
      </c>
      <c r="M36" s="3">
        <v>145000</v>
      </c>
      <c r="N36" s="30">
        <f>M36-K36-38900</f>
        <v>38900</v>
      </c>
      <c r="O36" s="14" t="s">
        <v>126</v>
      </c>
      <c r="Q36" s="16"/>
    </row>
    <row r="37" spans="1:17" x14ac:dyDescent="0.4">
      <c r="A37" s="5" t="s">
        <v>127</v>
      </c>
      <c r="B37" s="5" t="s">
        <v>129</v>
      </c>
      <c r="C37" s="5" t="s">
        <v>125</v>
      </c>
      <c r="D37" s="5" t="s">
        <v>130</v>
      </c>
      <c r="E37" s="51">
        <f>2180*11.2</f>
        <v>24416</v>
      </c>
      <c r="F37" s="52">
        <f>340*11.2</f>
        <v>3807.9999999999995</v>
      </c>
      <c r="G37" s="51">
        <v>0</v>
      </c>
      <c r="H37" s="52">
        <f>873*11.2</f>
        <v>9777.5999999999985</v>
      </c>
      <c r="I37" s="51">
        <v>0</v>
      </c>
      <c r="J37" s="51">
        <v>0</v>
      </c>
      <c r="K37" s="51">
        <v>38002</v>
      </c>
      <c r="L37" s="5">
        <v>200818</v>
      </c>
      <c r="M37" s="5">
        <v>90000</v>
      </c>
      <c r="N37" s="30">
        <v>90000</v>
      </c>
      <c r="O37" s="14" t="s">
        <v>126</v>
      </c>
      <c r="Q37" s="16"/>
    </row>
    <row r="38" spans="1:17" x14ac:dyDescent="0.4">
      <c r="A38" s="5" t="s">
        <v>127</v>
      </c>
      <c r="B38" s="5" t="s">
        <v>129</v>
      </c>
      <c r="C38" s="5" t="s">
        <v>125</v>
      </c>
      <c r="D38" s="5" t="s">
        <v>52</v>
      </c>
      <c r="E38" s="51">
        <f>3248*11.2</f>
        <v>36377.599999999999</v>
      </c>
      <c r="F38" s="52">
        <f>340*11.2</f>
        <v>3807.9999999999995</v>
      </c>
      <c r="G38" s="51">
        <v>0</v>
      </c>
      <c r="H38" s="52">
        <f>680*11.2</f>
        <v>7615.9999999999991</v>
      </c>
      <c r="I38" s="51">
        <v>0</v>
      </c>
      <c r="J38" s="51">
        <v>0</v>
      </c>
      <c r="K38" s="52">
        <f>H38+F38+E38</f>
        <v>47801.599999999999</v>
      </c>
      <c r="L38" s="5">
        <v>191128</v>
      </c>
      <c r="M38" s="5">
        <v>140000</v>
      </c>
      <c r="N38" s="30">
        <f>M38-K38-46000</f>
        <v>46198.399999999994</v>
      </c>
      <c r="O38" s="14" t="s">
        <v>126</v>
      </c>
      <c r="Q38" s="16"/>
    </row>
    <row r="39" spans="1:17" x14ac:dyDescent="0.4">
      <c r="A39" s="9" t="s">
        <v>127</v>
      </c>
      <c r="B39" s="9" t="s">
        <v>129</v>
      </c>
      <c r="C39" s="9" t="s">
        <v>125</v>
      </c>
      <c r="D39" s="9" t="s">
        <v>131</v>
      </c>
      <c r="E39" s="47">
        <f>2200*11.2</f>
        <v>24640</v>
      </c>
      <c r="F39" s="47">
        <f>340*11.2</f>
        <v>3807.9999999999995</v>
      </c>
      <c r="G39" s="47">
        <f>500*11.2</f>
        <v>5600</v>
      </c>
      <c r="H39" s="47">
        <f>560*11.2</f>
        <v>6272</v>
      </c>
      <c r="I39" s="47">
        <f>2150*11.2</f>
        <v>24080</v>
      </c>
      <c r="J39" s="47">
        <v>0</v>
      </c>
      <c r="K39" s="47">
        <f>I39+H39+G39+F39+E39</f>
        <v>64400</v>
      </c>
      <c r="L39" s="9">
        <v>191216</v>
      </c>
      <c r="M39" s="9">
        <v>95000</v>
      </c>
      <c r="N39" s="61">
        <f>M39-K39-15300</f>
        <v>15300</v>
      </c>
      <c r="O39" s="27" t="s">
        <v>126</v>
      </c>
      <c r="P39" s="9"/>
      <c r="Q39" s="15"/>
    </row>
    <row r="40" spans="1:17" x14ac:dyDescent="0.4">
      <c r="A40" s="5" t="s">
        <v>139</v>
      </c>
      <c r="B40" s="5" t="s">
        <v>141</v>
      </c>
      <c r="C40" s="5" t="s">
        <v>142</v>
      </c>
      <c r="D40" s="5" t="s">
        <v>143</v>
      </c>
      <c r="E40" s="52">
        <f>3000*11.11</f>
        <v>33330</v>
      </c>
      <c r="F40" s="52">
        <f>340*11.11</f>
        <v>3777.3999999999996</v>
      </c>
      <c r="G40" s="52">
        <v>0</v>
      </c>
      <c r="H40" s="52">
        <f>1200*11.11</f>
        <v>13332</v>
      </c>
      <c r="I40" s="52">
        <v>0</v>
      </c>
      <c r="J40" s="52">
        <v>0</v>
      </c>
      <c r="K40" s="52">
        <f>H40+F40+E40</f>
        <v>50439.4</v>
      </c>
      <c r="L40" s="5">
        <v>201021</v>
      </c>
      <c r="M40" s="5">
        <v>69000</v>
      </c>
      <c r="N40" s="33">
        <f>M40-K40</f>
        <v>18560.599999999999</v>
      </c>
      <c r="O40" s="5" t="s">
        <v>144</v>
      </c>
      <c r="Q40" s="16"/>
    </row>
    <row r="41" spans="1:17" x14ac:dyDescent="0.4">
      <c r="A41" s="5" t="s">
        <v>140</v>
      </c>
      <c r="B41" s="5" t="s">
        <v>141</v>
      </c>
      <c r="C41" s="5" t="s">
        <v>142</v>
      </c>
      <c r="D41" s="5" t="s">
        <v>130</v>
      </c>
      <c r="E41" s="51">
        <f>1911*11.11</f>
        <v>21231.21</v>
      </c>
      <c r="F41" s="52">
        <f>340*11.11</f>
        <v>3777.3999999999996</v>
      </c>
      <c r="G41" s="51">
        <v>0</v>
      </c>
      <c r="H41" s="52">
        <f>1200*11.11</f>
        <v>13332</v>
      </c>
      <c r="I41" s="51">
        <v>0</v>
      </c>
      <c r="J41" s="51">
        <v>0</v>
      </c>
      <c r="K41" s="51">
        <f>H41+F41+E41</f>
        <v>38340.61</v>
      </c>
      <c r="L41" s="5">
        <v>201004</v>
      </c>
      <c r="M41" s="5">
        <v>95000</v>
      </c>
      <c r="N41" s="30">
        <f>M41-K41</f>
        <v>56659.39</v>
      </c>
      <c r="O41" s="14" t="s">
        <v>144</v>
      </c>
      <c r="Q41" s="16"/>
    </row>
    <row r="42" spans="1:17" x14ac:dyDescent="0.4">
      <c r="A42" s="5" t="s">
        <v>140</v>
      </c>
      <c r="B42" s="5" t="s">
        <v>141</v>
      </c>
      <c r="C42" s="5" t="s">
        <v>142</v>
      </c>
      <c r="D42" s="5" t="s">
        <v>145</v>
      </c>
      <c r="E42" s="51">
        <f>3000*11.11</f>
        <v>33330</v>
      </c>
      <c r="F42" s="52">
        <f>340*11.11</f>
        <v>3777.3999999999996</v>
      </c>
      <c r="G42" s="51">
        <v>0</v>
      </c>
      <c r="H42" s="51">
        <f>720*11.11</f>
        <v>7999.2</v>
      </c>
      <c r="I42" s="51">
        <v>0</v>
      </c>
      <c r="J42" s="51">
        <v>0</v>
      </c>
      <c r="K42" s="52">
        <f>H42+F42+E42</f>
        <v>45106.6</v>
      </c>
      <c r="L42" s="5">
        <v>200603</v>
      </c>
      <c r="M42" s="5">
        <v>100000</v>
      </c>
      <c r="N42" s="30">
        <f>M42-K42-27400</f>
        <v>27493.4</v>
      </c>
      <c r="O42" s="14" t="s">
        <v>144</v>
      </c>
      <c r="Q42" s="16"/>
    </row>
    <row r="43" spans="1:17" s="55" customFormat="1" x14ac:dyDescent="0.4">
      <c r="A43" s="9" t="s">
        <v>140</v>
      </c>
      <c r="B43" s="9" t="s">
        <v>141</v>
      </c>
      <c r="C43" s="9" t="s">
        <v>142</v>
      </c>
      <c r="D43" s="9" t="s">
        <v>146</v>
      </c>
      <c r="E43" s="47">
        <f>3900*11.11</f>
        <v>43329</v>
      </c>
      <c r="F43" s="47">
        <f>340*11.11</f>
        <v>3777.3999999999996</v>
      </c>
      <c r="G43" s="47">
        <f>500*11.11</f>
        <v>5555</v>
      </c>
      <c r="H43" s="47">
        <f>980*11.11</f>
        <v>10887.8</v>
      </c>
      <c r="I43" s="47">
        <f>2250*11.11</f>
        <v>24997.5</v>
      </c>
      <c r="J43" s="47">
        <v>0</v>
      </c>
      <c r="K43" s="47">
        <f>I43+H43+G43+F43+E43</f>
        <v>88546.700000000012</v>
      </c>
      <c r="L43" s="9"/>
      <c r="M43" s="9"/>
      <c r="N43" s="61">
        <f>M43-K43-27400</f>
        <v>-115946.70000000001</v>
      </c>
      <c r="O43" s="27" t="s">
        <v>144</v>
      </c>
      <c r="P43" s="9"/>
      <c r="Q43" s="15"/>
    </row>
    <row r="44" spans="1:17" x14ac:dyDescent="0.4">
      <c r="A44" s="5" t="s">
        <v>147</v>
      </c>
      <c r="B44" s="5" t="s">
        <v>148</v>
      </c>
      <c r="C44" s="5" t="s">
        <v>41</v>
      </c>
      <c r="D44" s="5" t="s">
        <v>149</v>
      </c>
      <c r="E44" s="52">
        <f>2000*11.17</f>
        <v>22340</v>
      </c>
      <c r="F44" s="52">
        <f>340*11.17</f>
        <v>3797.8</v>
      </c>
      <c r="G44" s="52">
        <f>2000*11.17</f>
        <v>22340</v>
      </c>
      <c r="H44" s="52">
        <f>1200*11.17</f>
        <v>13404</v>
      </c>
      <c r="I44" s="52">
        <f>2750*11.17</f>
        <v>30717.5</v>
      </c>
      <c r="J44" s="52">
        <v>0</v>
      </c>
      <c r="K44" s="52">
        <f>I44+H44+G44+F44+E44</f>
        <v>92599.3</v>
      </c>
      <c r="L44" s="5">
        <v>200203</v>
      </c>
      <c r="M44" s="5">
        <v>150000</v>
      </c>
      <c r="N44" s="56">
        <f>M44-K44-28700</f>
        <v>28700.699999999997</v>
      </c>
      <c r="O44" s="5" t="s">
        <v>150</v>
      </c>
      <c r="Q44" s="16"/>
    </row>
    <row r="45" spans="1:17" x14ac:dyDescent="0.4">
      <c r="A45" s="5" t="s">
        <v>147</v>
      </c>
      <c r="B45" s="5" t="s">
        <v>148</v>
      </c>
      <c r="C45" s="5" t="s">
        <v>41</v>
      </c>
      <c r="D45" s="5" t="s">
        <v>153</v>
      </c>
      <c r="E45" s="52">
        <f>1700*11.15</f>
        <v>18955</v>
      </c>
      <c r="F45" s="52">
        <f>340*11.15</f>
        <v>3791</v>
      </c>
      <c r="G45" s="52">
        <v>0</v>
      </c>
      <c r="H45" s="52">
        <f>1260*11.15</f>
        <v>14049</v>
      </c>
      <c r="I45" s="52">
        <v>0</v>
      </c>
      <c r="J45" s="52">
        <v>0</v>
      </c>
      <c r="K45" s="52">
        <f t="shared" ref="K45:K49" si="2">H45+F45+E45</f>
        <v>36795</v>
      </c>
      <c r="L45" s="5">
        <v>201020</v>
      </c>
      <c r="M45" s="5">
        <v>120000</v>
      </c>
      <c r="N45" s="56">
        <f>M45-K45</f>
        <v>83205</v>
      </c>
      <c r="O45" s="5" t="s">
        <v>156</v>
      </c>
      <c r="Q45" s="16"/>
    </row>
    <row r="46" spans="1:17" x14ac:dyDescent="0.4">
      <c r="A46" s="5" t="s">
        <v>147</v>
      </c>
      <c r="B46" s="5" t="s">
        <v>148</v>
      </c>
      <c r="C46" s="5" t="s">
        <v>41</v>
      </c>
      <c r="D46" s="5" t="s">
        <v>154</v>
      </c>
      <c r="E46" s="52">
        <f>2900*11.15</f>
        <v>32335</v>
      </c>
      <c r="F46" s="52">
        <f>340*11.15</f>
        <v>3791</v>
      </c>
      <c r="G46" s="52">
        <v>0</v>
      </c>
      <c r="H46" s="52">
        <f>800*11.15</f>
        <v>8920</v>
      </c>
      <c r="I46" s="52">
        <v>0</v>
      </c>
      <c r="J46" s="52">
        <v>0</v>
      </c>
      <c r="K46" s="52">
        <f t="shared" si="2"/>
        <v>45046</v>
      </c>
      <c r="L46" s="5">
        <v>201030</v>
      </c>
      <c r="M46" s="5">
        <v>49000</v>
      </c>
      <c r="N46" s="56">
        <f t="shared" ref="N46:N47" si="3">M46-K46</f>
        <v>3954</v>
      </c>
      <c r="O46" s="5" t="s">
        <v>156</v>
      </c>
      <c r="Q46" s="16"/>
    </row>
    <row r="47" spans="1:17" x14ac:dyDescent="0.4">
      <c r="A47" s="5" t="s">
        <v>147</v>
      </c>
      <c r="B47" s="5" t="s">
        <v>148</v>
      </c>
      <c r="C47" s="5" t="s">
        <v>41</v>
      </c>
      <c r="D47" s="5" t="s">
        <v>155</v>
      </c>
      <c r="E47" s="52">
        <f>1730*11.17</f>
        <v>19324.099999999999</v>
      </c>
      <c r="F47" s="52">
        <f>340*11.17</f>
        <v>3797.8</v>
      </c>
      <c r="G47" s="52">
        <v>0</v>
      </c>
      <c r="H47" s="52">
        <f>680*11.17</f>
        <v>7595.6</v>
      </c>
      <c r="I47" s="52">
        <v>0</v>
      </c>
      <c r="J47" s="52">
        <v>0</v>
      </c>
      <c r="K47" s="52">
        <f t="shared" si="2"/>
        <v>30717.5</v>
      </c>
      <c r="L47" s="5">
        <v>201116</v>
      </c>
      <c r="M47" s="5">
        <v>77000</v>
      </c>
      <c r="N47" s="56">
        <f t="shared" si="3"/>
        <v>46282.5</v>
      </c>
      <c r="O47" s="5" t="s">
        <v>150</v>
      </c>
      <c r="Q47" s="16"/>
    </row>
    <row r="48" spans="1:17" x14ac:dyDescent="0.4">
      <c r="A48" s="5" t="s">
        <v>21</v>
      </c>
      <c r="B48" s="5" t="s">
        <v>148</v>
      </c>
      <c r="C48" s="5" t="s">
        <v>41</v>
      </c>
      <c r="D48" s="5" t="s">
        <v>157</v>
      </c>
      <c r="E48" s="52">
        <f>1100*11.11</f>
        <v>12221</v>
      </c>
      <c r="F48" s="52">
        <f>340*11.11</f>
        <v>3777.3999999999996</v>
      </c>
      <c r="G48" s="52">
        <v>0</v>
      </c>
      <c r="H48" s="52">
        <f>1100*11.11</f>
        <v>12221</v>
      </c>
      <c r="I48" s="52">
        <v>0</v>
      </c>
      <c r="J48" s="52">
        <v>0</v>
      </c>
      <c r="K48" s="52">
        <f t="shared" si="2"/>
        <v>28219.4</v>
      </c>
      <c r="L48" s="5">
        <v>200907</v>
      </c>
      <c r="M48" s="5">
        <v>40000</v>
      </c>
      <c r="N48" s="56">
        <f>M48-K48-5000</f>
        <v>6780.5999999999985</v>
      </c>
      <c r="O48" s="5" t="s">
        <v>144</v>
      </c>
      <c r="Q48" s="16"/>
    </row>
    <row r="49" spans="1:17" x14ac:dyDescent="0.4">
      <c r="A49" s="5" t="s">
        <v>22</v>
      </c>
      <c r="B49" s="5" t="s">
        <v>148</v>
      </c>
      <c r="C49" s="5" t="s">
        <v>41</v>
      </c>
      <c r="D49" s="5" t="s">
        <v>158</v>
      </c>
      <c r="E49" s="52">
        <f>800*11.14</f>
        <v>8912</v>
      </c>
      <c r="F49" s="52">
        <f>340*11.14</f>
        <v>3787.6000000000004</v>
      </c>
      <c r="G49" s="52">
        <v>0</v>
      </c>
      <c r="H49" s="52">
        <f>870*11.14</f>
        <v>9691.8000000000011</v>
      </c>
      <c r="I49" s="52">
        <v>0</v>
      </c>
      <c r="J49" s="52">
        <v>0</v>
      </c>
      <c r="K49" s="52">
        <f t="shared" si="2"/>
        <v>22391.4</v>
      </c>
      <c r="L49" s="5">
        <v>200907</v>
      </c>
      <c r="M49" s="5">
        <v>80000</v>
      </c>
      <c r="N49" s="64">
        <f>M49-K49-25000</f>
        <v>32608.6</v>
      </c>
      <c r="O49" s="5" t="s">
        <v>138</v>
      </c>
      <c r="Q49" s="16"/>
    </row>
    <row r="50" spans="1:17" x14ac:dyDescent="0.4">
      <c r="A50" s="57">
        <v>200930</v>
      </c>
      <c r="B50" s="12">
        <v>201007</v>
      </c>
      <c r="C50" s="12">
        <v>201017</v>
      </c>
      <c r="D50" s="12" t="s">
        <v>159</v>
      </c>
      <c r="E50" s="48">
        <f>3900*11.58</f>
        <v>45162</v>
      </c>
      <c r="F50" s="48">
        <f>11.58*340</f>
        <v>3937.2</v>
      </c>
      <c r="G50" s="48">
        <v>0</v>
      </c>
      <c r="H50" s="48">
        <f>550*11.58</f>
        <v>6369</v>
      </c>
      <c r="I50" s="48">
        <v>0</v>
      </c>
      <c r="J50" s="48">
        <v>3100</v>
      </c>
      <c r="K50" s="48">
        <f>H50+F50+E50+J50</f>
        <v>58568.2</v>
      </c>
      <c r="L50" s="12">
        <v>201019</v>
      </c>
      <c r="M50" s="12">
        <v>150000</v>
      </c>
      <c r="N50" s="63">
        <f>M50-K50</f>
        <v>91431.8</v>
      </c>
      <c r="O50" s="12" t="s">
        <v>160</v>
      </c>
      <c r="P50" s="12"/>
      <c r="Q50" s="58"/>
    </row>
    <row r="51" spans="1:17" x14ac:dyDescent="0.4">
      <c r="A51" s="59">
        <v>200930</v>
      </c>
      <c r="B51" s="13">
        <v>201007</v>
      </c>
      <c r="C51" s="13">
        <v>201017</v>
      </c>
      <c r="D51" s="14" t="s">
        <v>161</v>
      </c>
      <c r="E51" s="44">
        <f>11.58*2900</f>
        <v>33582</v>
      </c>
      <c r="F51" s="44">
        <f>340*11.58</f>
        <v>3937.2</v>
      </c>
      <c r="G51" s="44">
        <f>100*11.58</f>
        <v>1158</v>
      </c>
      <c r="H51" s="44">
        <f>550*11.58</f>
        <v>6369</v>
      </c>
      <c r="I51" s="44">
        <f>2250*11.58</f>
        <v>26055</v>
      </c>
      <c r="J51" s="44">
        <v>3900</v>
      </c>
      <c r="K51" s="44">
        <f>I51+H51+G51+F51+E51</f>
        <v>71101.2</v>
      </c>
      <c r="L51" s="13">
        <v>201117</v>
      </c>
      <c r="M51" s="13">
        <v>55000</v>
      </c>
      <c r="N51" s="63">
        <f>M51-K51</f>
        <v>-16101.199999999997</v>
      </c>
      <c r="O51" s="13" t="s">
        <v>160</v>
      </c>
      <c r="P51" s="13"/>
      <c r="Q51" s="16"/>
    </row>
    <row r="52" spans="1:17" x14ac:dyDescent="0.4">
      <c r="A52" s="59">
        <v>201002</v>
      </c>
      <c r="B52" s="13">
        <v>201007</v>
      </c>
      <c r="C52" s="13">
        <v>201017</v>
      </c>
      <c r="D52" s="13" t="s">
        <v>162</v>
      </c>
      <c r="E52" s="44">
        <f>1000*11.58</f>
        <v>11580</v>
      </c>
      <c r="F52" s="44">
        <f>240*11.58</f>
        <v>2779.2</v>
      </c>
      <c r="G52" s="44">
        <v>0</v>
      </c>
      <c r="H52" s="44">
        <f>970*11.58</f>
        <v>11232.6</v>
      </c>
      <c r="I52" s="44">
        <v>0</v>
      </c>
      <c r="J52" s="44">
        <v>2900</v>
      </c>
      <c r="K52" s="44">
        <f>I52+H52+G52+F52+E52+J52</f>
        <v>28491.8</v>
      </c>
      <c r="L52" s="13">
        <v>201021</v>
      </c>
      <c r="M52" s="13">
        <v>120000</v>
      </c>
      <c r="N52" s="63">
        <f t="shared" ref="N52:N64" si="4">M52-K52</f>
        <v>91508.2</v>
      </c>
      <c r="O52" s="13" t="s">
        <v>160</v>
      </c>
      <c r="P52" s="13"/>
      <c r="Q52" s="16"/>
    </row>
    <row r="53" spans="1:17" x14ac:dyDescent="0.4">
      <c r="A53" s="60">
        <v>201002</v>
      </c>
      <c r="B53" s="9">
        <v>201007</v>
      </c>
      <c r="C53" s="9">
        <v>201017</v>
      </c>
      <c r="D53" s="9" t="s">
        <v>52</v>
      </c>
      <c r="E53" s="47">
        <f>4000*11.58</f>
        <v>46320</v>
      </c>
      <c r="F53" s="47">
        <f>340*11.58</f>
        <v>3937.2</v>
      </c>
      <c r="G53" s="47">
        <v>0</v>
      </c>
      <c r="H53" s="47">
        <f>1219*11.58</f>
        <v>14116.02</v>
      </c>
      <c r="I53" s="47">
        <v>0</v>
      </c>
      <c r="J53" s="47">
        <v>3400</v>
      </c>
      <c r="K53" s="62">
        <f>H53+F53+E53+J53</f>
        <v>67773.22</v>
      </c>
      <c r="L53" s="9">
        <v>201105</v>
      </c>
      <c r="M53" s="9">
        <v>127000</v>
      </c>
      <c r="N53" s="64">
        <f t="shared" si="4"/>
        <v>59226.78</v>
      </c>
      <c r="O53" s="9" t="s">
        <v>160</v>
      </c>
      <c r="P53" s="9"/>
      <c r="Q53" s="15"/>
    </row>
    <row r="54" spans="1:17" x14ac:dyDescent="0.4">
      <c r="A54" s="5">
        <v>201002</v>
      </c>
      <c r="B54" s="5">
        <v>201029</v>
      </c>
      <c r="C54" s="5">
        <v>201106</v>
      </c>
      <c r="D54" s="5" t="s">
        <v>163</v>
      </c>
      <c r="E54" s="52">
        <f>4900*11.58</f>
        <v>56742</v>
      </c>
      <c r="F54" s="52">
        <f>340*11.58</f>
        <v>3937.2</v>
      </c>
      <c r="G54" s="52">
        <f>100*11.58</f>
        <v>1158</v>
      </c>
      <c r="H54" s="52">
        <f>550*11.58</f>
        <v>6369</v>
      </c>
      <c r="I54" s="52">
        <f>2250*11.58</f>
        <v>26055</v>
      </c>
      <c r="J54" s="52">
        <v>3900</v>
      </c>
      <c r="K54" s="44">
        <f>H54+F54+E54+J54+I54+G54</f>
        <v>98161.2</v>
      </c>
      <c r="L54" s="5">
        <v>201111</v>
      </c>
      <c r="M54" s="5">
        <v>140000</v>
      </c>
      <c r="N54" s="63">
        <f t="shared" si="4"/>
        <v>41838.800000000003</v>
      </c>
      <c r="O54" s="5" t="s">
        <v>164</v>
      </c>
      <c r="Q54" s="16"/>
    </row>
    <row r="55" spans="1:17" x14ac:dyDescent="0.4">
      <c r="A55" s="5">
        <v>201002</v>
      </c>
      <c r="B55" s="5">
        <v>201029</v>
      </c>
      <c r="C55" s="5">
        <v>201106</v>
      </c>
      <c r="D55" s="5" t="s">
        <v>165</v>
      </c>
      <c r="E55" s="52">
        <f>1600*11.58</f>
        <v>18528</v>
      </c>
      <c r="F55" s="52">
        <f>240*11.58</f>
        <v>2779.2</v>
      </c>
      <c r="G55" s="52">
        <v>0</v>
      </c>
      <c r="H55" s="52">
        <f>1150*11.58</f>
        <v>13317</v>
      </c>
      <c r="I55" s="52">
        <v>0</v>
      </c>
      <c r="J55" s="52">
        <v>2900</v>
      </c>
      <c r="K55" s="44">
        <f>H55+F55+E55+J55</f>
        <v>37524.199999999997</v>
      </c>
      <c r="L55" s="5">
        <v>201227</v>
      </c>
      <c r="M55" s="5">
        <v>55000</v>
      </c>
      <c r="N55" s="63">
        <f t="shared" si="4"/>
        <v>17475.800000000003</v>
      </c>
      <c r="O55" s="13" t="s">
        <v>160</v>
      </c>
      <c r="Q55" s="16"/>
    </row>
    <row r="56" spans="1:17" x14ac:dyDescent="0.4">
      <c r="A56" s="5">
        <v>201002</v>
      </c>
      <c r="B56" s="5">
        <v>201029</v>
      </c>
      <c r="C56" s="5">
        <v>201106</v>
      </c>
      <c r="D56" s="5" t="s">
        <v>166</v>
      </c>
      <c r="E56" s="52">
        <f>3333*11.58</f>
        <v>38596.14</v>
      </c>
      <c r="F56" s="52">
        <f>340*11.58</f>
        <v>3937.2</v>
      </c>
      <c r="G56" s="52">
        <v>0</v>
      </c>
      <c r="H56" s="52">
        <f>900*11.58</f>
        <v>10422</v>
      </c>
      <c r="I56" s="52">
        <v>0</v>
      </c>
      <c r="K56" s="44">
        <f>H56+F56+E56+J56</f>
        <v>52955.34</v>
      </c>
      <c r="L56" s="5">
        <v>201108</v>
      </c>
      <c r="M56" s="5">
        <v>150000</v>
      </c>
      <c r="N56" s="63">
        <f t="shared" si="4"/>
        <v>97044.66</v>
      </c>
      <c r="O56" s="13" t="s">
        <v>160</v>
      </c>
      <c r="Q56" s="16"/>
    </row>
    <row r="57" spans="1:17" s="67" customFormat="1" x14ac:dyDescent="0.4">
      <c r="A57" s="65">
        <v>201020</v>
      </c>
      <c r="B57" s="65">
        <v>201029</v>
      </c>
      <c r="C57" s="65">
        <v>201106</v>
      </c>
      <c r="D57" s="65" t="s">
        <v>167</v>
      </c>
      <c r="E57" s="62">
        <f>1600*11.29</f>
        <v>18064</v>
      </c>
      <c r="F57" s="62">
        <f>340*11.29</f>
        <v>3838.6</v>
      </c>
      <c r="G57" s="62">
        <v>0</v>
      </c>
      <c r="H57" s="62">
        <f>1386*11.29</f>
        <v>15647.939999999999</v>
      </c>
      <c r="I57" s="62">
        <v>0</v>
      </c>
      <c r="J57" s="62">
        <v>0</v>
      </c>
      <c r="K57" s="62">
        <f>H57+F57+E57+J57</f>
        <v>37550.539999999994</v>
      </c>
      <c r="L57" s="65">
        <v>201206</v>
      </c>
      <c r="M57" s="65">
        <v>70000</v>
      </c>
      <c r="N57" s="64">
        <f t="shared" si="4"/>
        <v>32449.460000000006</v>
      </c>
      <c r="O57" s="65" t="s">
        <v>168</v>
      </c>
      <c r="P57" s="65"/>
      <c r="Q57" s="66"/>
    </row>
    <row r="58" spans="1:17" x14ac:dyDescent="0.4">
      <c r="A58" s="5">
        <v>201025</v>
      </c>
      <c r="B58" s="5">
        <v>201105</v>
      </c>
      <c r="C58" s="5">
        <v>201112</v>
      </c>
      <c r="D58" s="5" t="s">
        <v>169</v>
      </c>
      <c r="E58" s="52">
        <f>3410*11.38</f>
        <v>38805.800000000003</v>
      </c>
      <c r="F58" s="52">
        <f>340*11.38</f>
        <v>3869.2000000000003</v>
      </c>
      <c r="G58" s="52">
        <v>0</v>
      </c>
      <c r="H58" s="52">
        <f>900*11.38</f>
        <v>10242</v>
      </c>
      <c r="I58" s="52">
        <v>0</v>
      </c>
      <c r="K58" s="44">
        <f>H58+F58+E58+J58</f>
        <v>52917</v>
      </c>
      <c r="N58" s="63">
        <f>M58-K58</f>
        <v>-52917</v>
      </c>
      <c r="O58" s="5" t="s">
        <v>172</v>
      </c>
      <c r="Q58" s="16"/>
    </row>
    <row r="59" spans="1:17" x14ac:dyDescent="0.4">
      <c r="A59" s="5">
        <v>201026</v>
      </c>
      <c r="B59" s="5">
        <v>201105</v>
      </c>
      <c r="C59" s="5">
        <v>201112</v>
      </c>
      <c r="D59" s="5" t="s">
        <v>170</v>
      </c>
      <c r="E59" s="52">
        <f>1410*11.37</f>
        <v>16031.699999999999</v>
      </c>
      <c r="F59" s="52">
        <f>340*11.37</f>
        <v>3865.7999999999997</v>
      </c>
      <c r="G59" s="52">
        <v>0</v>
      </c>
      <c r="H59" s="52">
        <f>850*11.37</f>
        <v>9664.5</v>
      </c>
      <c r="I59" s="52">
        <v>0</v>
      </c>
      <c r="J59" s="52">
        <v>0</v>
      </c>
      <c r="K59" s="44">
        <f>H59+F59+E59+J59</f>
        <v>29562</v>
      </c>
      <c r="L59" s="5">
        <v>201112</v>
      </c>
      <c r="M59" s="5">
        <v>90000</v>
      </c>
      <c r="N59" s="63">
        <f t="shared" si="4"/>
        <v>60438</v>
      </c>
      <c r="O59" s="5" t="s">
        <v>171</v>
      </c>
      <c r="Q59" s="16"/>
    </row>
    <row r="60" spans="1:17" s="67" customFormat="1" x14ac:dyDescent="0.4">
      <c r="A60" s="65">
        <v>201026</v>
      </c>
      <c r="B60" s="65">
        <v>201105</v>
      </c>
      <c r="C60" s="65">
        <v>201112</v>
      </c>
      <c r="D60" s="65" t="s">
        <v>173</v>
      </c>
      <c r="E60" s="62">
        <f>1000*11.37</f>
        <v>11370</v>
      </c>
      <c r="F60" s="62">
        <f>340*11.37</f>
        <v>3865.7999999999997</v>
      </c>
      <c r="G60" s="62">
        <f>100*11.37</f>
        <v>1137</v>
      </c>
      <c r="H60" s="62">
        <f>1300*11.37</f>
        <v>14780.999999999998</v>
      </c>
      <c r="I60" s="62">
        <f>2350*11.37</f>
        <v>26719.499999999996</v>
      </c>
      <c r="J60" s="62">
        <v>0</v>
      </c>
      <c r="K60" s="62">
        <f t="shared" ref="K60:K65" si="5">H60+F60+E60+J60+I60+G60</f>
        <v>57873.299999999996</v>
      </c>
      <c r="L60" s="65">
        <v>201127</v>
      </c>
      <c r="M60" s="65">
        <v>65000</v>
      </c>
      <c r="N60" s="64">
        <f t="shared" si="4"/>
        <v>7126.7000000000044</v>
      </c>
      <c r="O60" s="65" t="s">
        <v>171</v>
      </c>
      <c r="P60" s="65"/>
      <c r="Q60" s="66"/>
    </row>
    <row r="61" spans="1:17" x14ac:dyDescent="0.4">
      <c r="A61" s="5">
        <v>201112</v>
      </c>
      <c r="B61" s="5">
        <v>201126</v>
      </c>
      <c r="C61" s="5">
        <v>201201</v>
      </c>
      <c r="D61" s="13" t="s">
        <v>174</v>
      </c>
      <c r="E61" s="52">
        <f>11.09*3900</f>
        <v>43251</v>
      </c>
      <c r="F61" s="52">
        <f>340*11.09</f>
        <v>3770.6</v>
      </c>
      <c r="G61" s="52">
        <v>0</v>
      </c>
      <c r="H61" s="52">
        <f>1030*11.09</f>
        <v>11422.7</v>
      </c>
      <c r="I61" s="52">
        <v>0</v>
      </c>
      <c r="J61" s="52">
        <v>0</v>
      </c>
      <c r="K61" s="44">
        <f t="shared" si="5"/>
        <v>58444.3</v>
      </c>
      <c r="L61" s="5">
        <v>201205</v>
      </c>
      <c r="M61" s="5">
        <v>130000</v>
      </c>
      <c r="N61" s="63">
        <f t="shared" si="4"/>
        <v>71555.7</v>
      </c>
      <c r="O61" s="5" t="s">
        <v>175</v>
      </c>
      <c r="Q61" s="16"/>
    </row>
    <row r="62" spans="1:17" x14ac:dyDescent="0.4">
      <c r="A62" s="5">
        <v>201121</v>
      </c>
      <c r="B62" s="5">
        <v>201126</v>
      </c>
      <c r="C62" s="5">
        <v>201201</v>
      </c>
      <c r="D62" s="14" t="s">
        <v>176</v>
      </c>
      <c r="E62" s="52">
        <f>2010*11.26</f>
        <v>22632.6</v>
      </c>
      <c r="F62" s="52">
        <f>340*11.26</f>
        <v>3828.4</v>
      </c>
      <c r="G62" s="52">
        <v>0</v>
      </c>
      <c r="H62" s="52">
        <f>1200*11.26</f>
        <v>13512</v>
      </c>
      <c r="I62" s="52">
        <v>0</v>
      </c>
      <c r="J62" s="52">
        <v>0</v>
      </c>
      <c r="K62" s="44">
        <f t="shared" si="5"/>
        <v>39973</v>
      </c>
      <c r="L62" s="5">
        <v>201217</v>
      </c>
      <c r="M62" s="5">
        <v>60000</v>
      </c>
      <c r="N62" s="63">
        <f t="shared" si="4"/>
        <v>20027</v>
      </c>
      <c r="O62" s="5" t="s">
        <v>179</v>
      </c>
      <c r="Q62" s="16"/>
    </row>
    <row r="63" spans="1:17" x14ac:dyDescent="0.4">
      <c r="A63" s="5">
        <v>201122</v>
      </c>
      <c r="B63" s="5">
        <v>201126</v>
      </c>
      <c r="C63" s="5">
        <v>201201</v>
      </c>
      <c r="D63" s="5" t="s">
        <v>177</v>
      </c>
      <c r="E63" s="52">
        <f>8000*11.26</f>
        <v>90080</v>
      </c>
      <c r="F63" s="52">
        <f>240*11.26</f>
        <v>2702.4</v>
      </c>
      <c r="G63" s="52">
        <f>100*11.26</f>
        <v>1126</v>
      </c>
      <c r="H63" s="52">
        <f>1100*11.26</f>
        <v>12386</v>
      </c>
      <c r="I63" s="52">
        <f>2600*11.26</f>
        <v>29276</v>
      </c>
      <c r="J63" s="52">
        <v>0</v>
      </c>
      <c r="K63" s="44">
        <f t="shared" si="5"/>
        <v>135570.4</v>
      </c>
      <c r="L63" s="5">
        <v>210124</v>
      </c>
      <c r="M63" s="5">
        <v>110000</v>
      </c>
      <c r="N63" s="63">
        <f>M63-K63-50660</f>
        <v>-76230.399999999994</v>
      </c>
      <c r="O63" s="5" t="s">
        <v>179</v>
      </c>
      <c r="Q63" s="16"/>
    </row>
    <row r="64" spans="1:17" x14ac:dyDescent="0.4">
      <c r="A64" s="5">
        <v>201122</v>
      </c>
      <c r="B64" s="5">
        <v>201126</v>
      </c>
      <c r="C64" s="5">
        <v>201201</v>
      </c>
      <c r="D64" s="5" t="s">
        <v>178</v>
      </c>
      <c r="E64" s="52">
        <f>1100*11.26</f>
        <v>12386</v>
      </c>
      <c r="F64" s="52">
        <f>240*11.26</f>
        <v>2702.4</v>
      </c>
      <c r="G64" s="52">
        <v>0</v>
      </c>
      <c r="H64" s="52">
        <f>1045*11.26</f>
        <v>11766.699999999999</v>
      </c>
      <c r="I64" s="52">
        <v>0</v>
      </c>
      <c r="J64" s="52">
        <v>0</v>
      </c>
      <c r="K64" s="44">
        <f t="shared" si="5"/>
        <v>26855.1</v>
      </c>
      <c r="L64" s="5">
        <v>201217</v>
      </c>
      <c r="M64" s="5">
        <v>60000</v>
      </c>
      <c r="N64" s="63">
        <f t="shared" si="4"/>
        <v>33144.9</v>
      </c>
      <c r="O64" s="5" t="s">
        <v>179</v>
      </c>
      <c r="Q64" s="16"/>
    </row>
    <row r="65" spans="11:17" x14ac:dyDescent="0.4">
      <c r="K65" s="44">
        <f t="shared" si="5"/>
        <v>0</v>
      </c>
      <c r="Q65" s="16"/>
    </row>
    <row r="66" spans="11:17" x14ac:dyDescent="0.4">
      <c r="Q66" s="16"/>
    </row>
    <row r="67" spans="11:17" x14ac:dyDescent="0.4">
      <c r="Q67" s="16"/>
    </row>
    <row r="68" spans="11:17" x14ac:dyDescent="0.4">
      <c r="Q68" s="16"/>
    </row>
    <row r="69" spans="11:17" x14ac:dyDescent="0.4">
      <c r="Q69" s="16"/>
    </row>
    <row r="70" spans="11:17" x14ac:dyDescent="0.4">
      <c r="Q70" s="16"/>
    </row>
    <row r="71" spans="11:17" x14ac:dyDescent="0.4">
      <c r="Q71" s="16"/>
    </row>
    <row r="72" spans="11:17" x14ac:dyDescent="0.4">
      <c r="Q72" s="16"/>
    </row>
    <row r="73" spans="11:17" x14ac:dyDescent="0.4">
      <c r="Q73" s="16"/>
    </row>
  </sheetData>
  <phoneticPr fontId="2" type="noConversion"/>
  <pageMargins left="0.7" right="0.7" top="0.75" bottom="0.75" header="0.3" footer="0.3"/>
  <pageSetup paperSize="9" orientation="portrait" r:id="rId1"/>
  <ignoredErrors>
    <ignoredError sqref="K6 K15 E25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1"/>
  <sheetViews>
    <sheetView topLeftCell="A11" workbookViewId="0">
      <selection activeCell="J31" sqref="J31"/>
    </sheetView>
  </sheetViews>
  <sheetFormatPr defaultRowHeight="17.399999999999999" x14ac:dyDescent="0.4"/>
  <cols>
    <col min="1" max="1" width="17" customWidth="1"/>
    <col min="2" max="2" width="13" customWidth="1"/>
  </cols>
  <sheetData>
    <row r="1" spans="1:5" x14ac:dyDescent="0.4">
      <c r="A1" s="3" t="s">
        <v>0</v>
      </c>
      <c r="B1" s="3" t="s">
        <v>79</v>
      </c>
      <c r="C1" s="3" t="s">
        <v>80</v>
      </c>
      <c r="D1" s="3" t="s">
        <v>81</v>
      </c>
      <c r="E1" s="3" t="s">
        <v>82</v>
      </c>
    </row>
    <row r="2" spans="1:5" x14ac:dyDescent="0.4">
      <c r="A2" t="s">
        <v>89</v>
      </c>
      <c r="B2">
        <v>8000</v>
      </c>
      <c r="C2">
        <v>2800</v>
      </c>
      <c r="D2">
        <v>38000</v>
      </c>
      <c r="E2">
        <f>D2-B2-C2</f>
        <v>27200</v>
      </c>
    </row>
    <row r="3" spans="1:5" x14ac:dyDescent="0.4">
      <c r="A3" t="s">
        <v>84</v>
      </c>
      <c r="B3">
        <v>4000</v>
      </c>
      <c r="C3">
        <v>2800</v>
      </c>
      <c r="D3">
        <v>15000</v>
      </c>
      <c r="E3">
        <f t="shared" ref="E3:E7" si="0">D3-B3-C3</f>
        <v>8200</v>
      </c>
    </row>
    <row r="4" spans="1:5" x14ac:dyDescent="0.4">
      <c r="A4" t="s">
        <v>85</v>
      </c>
      <c r="B4">
        <v>4000</v>
      </c>
      <c r="C4">
        <v>2800</v>
      </c>
      <c r="D4">
        <v>20000</v>
      </c>
      <c r="E4">
        <f t="shared" si="0"/>
        <v>13200</v>
      </c>
    </row>
    <row r="5" spans="1:5" x14ac:dyDescent="0.4">
      <c r="A5" t="s">
        <v>86</v>
      </c>
      <c r="B5">
        <v>8000</v>
      </c>
      <c r="C5">
        <v>2800</v>
      </c>
      <c r="D5">
        <v>19000</v>
      </c>
      <c r="E5">
        <f t="shared" si="0"/>
        <v>8200</v>
      </c>
    </row>
    <row r="6" spans="1:5" x14ac:dyDescent="0.4">
      <c r="A6" t="s">
        <v>87</v>
      </c>
      <c r="B6">
        <v>8000</v>
      </c>
      <c r="C6">
        <v>2800</v>
      </c>
      <c r="D6">
        <v>40000</v>
      </c>
      <c r="E6">
        <f t="shared" si="0"/>
        <v>29200</v>
      </c>
    </row>
    <row r="7" spans="1:5" x14ac:dyDescent="0.4">
      <c r="A7" t="s">
        <v>88</v>
      </c>
      <c r="B7">
        <v>4000</v>
      </c>
      <c r="C7">
        <v>2800</v>
      </c>
      <c r="D7">
        <v>19000</v>
      </c>
      <c r="E7">
        <f t="shared" si="0"/>
        <v>12200</v>
      </c>
    </row>
    <row r="8" spans="1:5" x14ac:dyDescent="0.4">
      <c r="A8" t="s">
        <v>83</v>
      </c>
      <c r="B8">
        <v>8000</v>
      </c>
      <c r="C8">
        <v>2900</v>
      </c>
      <c r="D8">
        <v>29000</v>
      </c>
      <c r="E8">
        <f>D8-C8-B8</f>
        <v>18100</v>
      </c>
    </row>
    <row r="9" spans="1:5" x14ac:dyDescent="0.4">
      <c r="A9" t="s">
        <v>90</v>
      </c>
      <c r="B9">
        <v>8000</v>
      </c>
      <c r="C9">
        <v>0</v>
      </c>
      <c r="D9">
        <v>30000</v>
      </c>
      <c r="E9">
        <f>D9-B9</f>
        <v>22000</v>
      </c>
    </row>
    <row r="10" spans="1:5" x14ac:dyDescent="0.4">
      <c r="A10" s="3" t="s">
        <v>104</v>
      </c>
      <c r="B10">
        <v>6000</v>
      </c>
      <c r="C10">
        <v>0</v>
      </c>
      <c r="D10">
        <v>12000</v>
      </c>
      <c r="E10">
        <v>6000</v>
      </c>
    </row>
    <row r="11" spans="1:5" x14ac:dyDescent="0.4">
      <c r="A11" t="s">
        <v>105</v>
      </c>
      <c r="B11">
        <v>6000</v>
      </c>
      <c r="C11">
        <v>0</v>
      </c>
      <c r="D11">
        <v>16000</v>
      </c>
      <c r="E11">
        <v>10000</v>
      </c>
    </row>
    <row r="12" spans="1:5" x14ac:dyDescent="0.4">
      <c r="A12" t="s">
        <v>106</v>
      </c>
      <c r="B12">
        <v>10000</v>
      </c>
      <c r="C12">
        <v>2900</v>
      </c>
      <c r="D12">
        <v>33000</v>
      </c>
      <c r="E12">
        <f>D12-C12-B12</f>
        <v>20100</v>
      </c>
    </row>
    <row r="13" spans="1:5" x14ac:dyDescent="0.4">
      <c r="A13" t="s">
        <v>107</v>
      </c>
      <c r="B13">
        <v>10000</v>
      </c>
      <c r="C13">
        <v>2600</v>
      </c>
      <c r="D13">
        <v>18000</v>
      </c>
      <c r="E13">
        <f>D13-C13-B13</f>
        <v>5400</v>
      </c>
    </row>
    <row r="14" spans="1:5" x14ac:dyDescent="0.4">
      <c r="A14" t="s">
        <v>108</v>
      </c>
      <c r="B14">
        <v>10000</v>
      </c>
      <c r="C14">
        <v>2900</v>
      </c>
      <c r="D14">
        <v>18000</v>
      </c>
      <c r="E14">
        <f>D14-C14-B14</f>
        <v>5100</v>
      </c>
    </row>
    <row r="15" spans="1:5" ht="16.2" customHeight="1" x14ac:dyDescent="0.4">
      <c r="A15" t="s">
        <v>109</v>
      </c>
      <c r="B15">
        <v>15000</v>
      </c>
    </row>
    <row r="16" spans="1:5" hidden="1" x14ac:dyDescent="0.4">
      <c r="A16" s="3"/>
    </row>
    <row r="17" spans="1:5" x14ac:dyDescent="0.4">
      <c r="A17" t="s">
        <v>110</v>
      </c>
      <c r="B17">
        <v>5000</v>
      </c>
      <c r="C17">
        <v>4200</v>
      </c>
      <c r="D17">
        <v>17000</v>
      </c>
      <c r="E17">
        <f>D17-C17-B17</f>
        <v>7800</v>
      </c>
    </row>
    <row r="18" spans="1:5" x14ac:dyDescent="0.4">
      <c r="A18" t="s">
        <v>111</v>
      </c>
      <c r="B18">
        <v>5000</v>
      </c>
      <c r="C18">
        <v>0</v>
      </c>
      <c r="D18">
        <v>6500</v>
      </c>
      <c r="E18">
        <v>1500</v>
      </c>
    </row>
    <row r="19" spans="1:5" x14ac:dyDescent="0.4">
      <c r="A19" t="s">
        <v>112</v>
      </c>
      <c r="B19">
        <v>5000</v>
      </c>
      <c r="C19">
        <v>0</v>
      </c>
      <c r="D19">
        <v>6500</v>
      </c>
      <c r="E19">
        <v>1500</v>
      </c>
    </row>
    <row r="20" spans="1:5" x14ac:dyDescent="0.4">
      <c r="A20" t="s">
        <v>115</v>
      </c>
      <c r="B20">
        <v>5000</v>
      </c>
    </row>
    <row r="21" spans="1:5" x14ac:dyDescent="0.4">
      <c r="A21" t="s">
        <v>113</v>
      </c>
      <c r="B21">
        <v>5000</v>
      </c>
      <c r="C21">
        <v>0</v>
      </c>
      <c r="D21">
        <v>10000</v>
      </c>
      <c r="E21">
        <v>5000</v>
      </c>
    </row>
    <row r="22" spans="1:5" x14ac:dyDescent="0.4">
      <c r="A22" t="s">
        <v>114</v>
      </c>
      <c r="B22">
        <v>5000</v>
      </c>
      <c r="C22">
        <v>0</v>
      </c>
      <c r="D22">
        <v>10000</v>
      </c>
      <c r="E22">
        <v>5000</v>
      </c>
    </row>
    <row r="23" spans="1:5" x14ac:dyDescent="0.4">
      <c r="A23" t="s">
        <v>118</v>
      </c>
      <c r="B23">
        <v>5000</v>
      </c>
      <c r="C23">
        <v>0</v>
      </c>
      <c r="D23">
        <v>10000</v>
      </c>
      <c r="E23">
        <v>5000</v>
      </c>
    </row>
    <row r="24" spans="1:5" x14ac:dyDescent="0.4">
      <c r="A24" t="s">
        <v>116</v>
      </c>
      <c r="B24">
        <v>5000</v>
      </c>
      <c r="C24">
        <v>2900</v>
      </c>
      <c r="D24">
        <v>15000</v>
      </c>
      <c r="E24">
        <f>D24-C24-B24</f>
        <v>7100</v>
      </c>
    </row>
    <row r="25" spans="1:5" x14ac:dyDescent="0.4">
      <c r="A25" t="s">
        <v>117</v>
      </c>
      <c r="B25">
        <v>5000</v>
      </c>
      <c r="C25">
        <v>0</v>
      </c>
      <c r="D25">
        <v>10000</v>
      </c>
      <c r="E25">
        <v>5000</v>
      </c>
    </row>
    <row r="26" spans="1:5" x14ac:dyDescent="0.4">
      <c r="A26" t="s">
        <v>119</v>
      </c>
      <c r="B26">
        <v>5000</v>
      </c>
      <c r="C26">
        <v>0</v>
      </c>
      <c r="D26">
        <v>10000</v>
      </c>
      <c r="E26">
        <v>5000</v>
      </c>
    </row>
    <row r="27" spans="1:5" x14ac:dyDescent="0.4">
      <c r="A27" t="s">
        <v>120</v>
      </c>
      <c r="B27">
        <v>10000</v>
      </c>
      <c r="C27">
        <v>3100</v>
      </c>
      <c r="D27">
        <v>35000</v>
      </c>
      <c r="E27">
        <v>21900</v>
      </c>
    </row>
    <row r="28" spans="1:5" x14ac:dyDescent="0.4">
      <c r="A28" t="s">
        <v>121</v>
      </c>
      <c r="B28">
        <v>10000</v>
      </c>
    </row>
    <row r="29" spans="1:5" x14ac:dyDescent="0.4">
      <c r="A29" t="s">
        <v>122</v>
      </c>
      <c r="B29">
        <v>7000</v>
      </c>
      <c r="C29">
        <v>2900</v>
      </c>
      <c r="D29">
        <v>30000</v>
      </c>
      <c r="E29">
        <f>D29-C29</f>
        <v>27100</v>
      </c>
    </row>
    <row r="30" spans="1:5" x14ac:dyDescent="0.4">
      <c r="A30" t="s">
        <v>123</v>
      </c>
      <c r="B30">
        <v>5000</v>
      </c>
      <c r="E30">
        <v>10000</v>
      </c>
    </row>
    <row r="31" spans="1:5" x14ac:dyDescent="0.4">
      <c r="A31" t="s">
        <v>124</v>
      </c>
      <c r="B31">
        <v>5000</v>
      </c>
      <c r="C31">
        <v>0</v>
      </c>
      <c r="D31">
        <v>20000</v>
      </c>
      <c r="E31">
        <v>20000</v>
      </c>
    </row>
  </sheetData>
  <phoneticPr fontId="2" type="noConversion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일본직구판매</vt:lpstr>
      <vt:lpstr>국내중고도매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정현</cp:lastModifiedBy>
  <dcterms:created xsi:type="dcterms:W3CDTF">2019-01-18T12:25:37Z</dcterms:created>
  <dcterms:modified xsi:type="dcterms:W3CDTF">2021-04-11T14:24:40Z</dcterms:modified>
</cp:coreProperties>
</file>