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rreyac-my.sharepoint.com/personal/rz00355_surrey_ac_uk/Documents/Desktop/bio-digester/LCA/"/>
    </mc:Choice>
  </mc:AlternateContent>
  <xr:revisionPtr revIDLastSave="0" documentId="10_ncr:40000_{495AB398-45A1-4EBF-950D-D8636084168F}" xr6:coauthVersionLast="47" xr6:coauthVersionMax="47" xr10:uidLastSave="{00000000-0000-0000-0000-000000000000}"/>
  <bookViews>
    <workbookView xWindow="-110" yWindow="-110" windowWidth="19420" windowHeight="10420" activeTab="1"/>
  </bookViews>
  <sheets>
    <sheet name="Calculator" sheetId="1" r:id="rId1"/>
    <sheet name="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2" i="1"/>
  <c r="R2" i="1"/>
  <c r="O3" i="1" l="1"/>
  <c r="N3" i="1"/>
  <c r="O2" i="1"/>
  <c r="N2" i="1"/>
  <c r="K3" i="2"/>
  <c r="J3" i="2"/>
  <c r="M3" i="1"/>
  <c r="L3" i="1"/>
  <c r="K3" i="1"/>
  <c r="M2" i="1"/>
  <c r="L2" i="1"/>
  <c r="K2" i="1"/>
  <c r="J2" i="1"/>
  <c r="J3" i="1"/>
  <c r="E5" i="2"/>
  <c r="F3" i="1" l="1"/>
  <c r="E3" i="1"/>
  <c r="R3" i="1" s="1"/>
  <c r="C3" i="1"/>
  <c r="F2" i="1"/>
  <c r="C2" i="1"/>
  <c r="W2" i="1" s="1"/>
  <c r="E2" i="1"/>
  <c r="V3" i="1" l="1"/>
  <c r="W3" i="1"/>
  <c r="T2" i="1"/>
  <c r="V2" i="1"/>
  <c r="S3" i="1"/>
  <c r="T3" i="1"/>
  <c r="Q3" i="1"/>
  <c r="P2" i="1"/>
  <c r="P3" i="1"/>
  <c r="Q2" i="1"/>
  <c r="S2" i="1"/>
  <c r="Y3" i="1" l="1"/>
  <c r="X3" i="1"/>
  <c r="X2" i="1"/>
  <c r="Y2" i="1"/>
</calcChain>
</file>

<file path=xl/sharedStrings.xml><?xml version="1.0" encoding="utf-8"?>
<sst xmlns="http://schemas.openxmlformats.org/spreadsheetml/2006/main" count="41" uniqueCount="30">
  <si>
    <t>Fraction of TS</t>
  </si>
  <si>
    <t>Distance (km)</t>
  </si>
  <si>
    <t>Parasite electricity use by AD plant (kWh/ton)</t>
  </si>
  <si>
    <t>Parasite heat use by AD plant (kWh/ton)</t>
  </si>
  <si>
    <t xml:space="preserve">Fraction of methane leakage from AD plant </t>
  </si>
  <si>
    <r>
      <t>Production of biogas (Nm</t>
    </r>
    <r>
      <rPr>
        <vertAlign val="super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>/ton)</t>
    </r>
  </si>
  <si>
    <t>Fraction of methane</t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</si>
  <si>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emissions from AD plant (kg/ton)</t>
    </r>
  </si>
  <si>
    <t>Electricity generation (kwh/ton)</t>
  </si>
  <si>
    <t>Heat generation (kwh/ton)</t>
  </si>
  <si>
    <t>K in TS (g/kg TS)</t>
  </si>
  <si>
    <t>N(g/kgTS)</t>
  </si>
  <si>
    <t>P(g/kgTS)</t>
  </si>
  <si>
    <t>Feedstock type</t>
  </si>
  <si>
    <t>Foodwaste</t>
  </si>
  <si>
    <t>Cattle manure</t>
  </si>
  <si>
    <t>Grass sliage</t>
  </si>
  <si>
    <t>Sewage sluge</t>
  </si>
  <si>
    <r>
      <t>GWP on transportation (kg CO2eq/Nm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</si>
  <si>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Example</t>
  </si>
  <si>
    <r>
      <t>GWP on AD operation (kg CO2eq/Nm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</si>
  <si>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GWP on cultivation (kg CO2eq/Nm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</si>
  <si>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Cultivation</t>
  </si>
  <si>
    <r>
      <t>GWP on CHP (kg CO2eq/Nm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</si>
  <si>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GWP on digestate fertiliser application（including 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emission) (kg CO2eq/Nm3)</t>
    </r>
  </si>
  <si>
    <r>
      <t>GWP on avoided emissions from natural gas production (kg CO2eq/Nm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</si>
  <si>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GWP on avoided Energy generation from CHP (kg CO2eq/Nm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</si>
  <si>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GWP avoided on fertiliser application using digestate (kg CO2eq/Nm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</si>
  <si>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Total GWP for cardel-to-gate(kg CO2eq/Nm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</si>
  <si>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Total GWP for cardel-to-grave(kg CO2eq/Nm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</si>
</sst>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2" borderId="1" xfId="0" applyFill="1" applyBorder="1"/>
    <xf numFmtId="0" fontId="0" fillId="4" borderId="1" xfId="0" applyFill="1" applyBorder="1"/>
    <xf numFmtId="0" fontId="0" fillId="2" borderId="0" xfId="0" applyFill="1" applyBorder="1"/>
    <xf numFmtId="0" fontId="0" fillId="2" borderId="3" xfId="0" applyFill="1" applyBorder="1"/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3" borderId="0" xfId="0" applyFill="1"/>
    <xf numFmtId="0" fontId="0" fillId="5" borderId="2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workbookViewId="0">
      <selection activeCell="B3" sqref="B3"/>
    </sheetView>
  </sheetViews>
  <sheetFormatPr defaultRowHeight="14.5" x14ac:dyDescent="0.35"/>
  <cols>
    <col min="2" max="2" width="19.7265625" customWidth="1"/>
    <col min="3" max="3" width="14.7265625" customWidth="1"/>
    <col min="7" max="7" width="11.36328125" bestFit="1" customWidth="1"/>
    <col min="10" max="10" width="11.36328125" bestFit="1" customWidth="1"/>
    <col min="12" max="12" width="11.36328125" bestFit="1" customWidth="1"/>
    <col min="13" max="13" width="10.36328125" bestFit="1" customWidth="1"/>
    <col min="14" max="14" width="9.36328125" bestFit="1" customWidth="1"/>
    <col min="19" max="19" width="8.7265625" style="10"/>
  </cols>
  <sheetData>
    <row r="1" spans="1:25" ht="161.5" x14ac:dyDescent="0.35">
      <c r="B1" t="s">
        <v>13</v>
      </c>
      <c r="C1" s="3" t="s">
        <v>5</v>
      </c>
      <c r="D1" s="1" t="s">
        <v>1</v>
      </c>
      <c r="E1" s="3" t="s">
        <v>2</v>
      </c>
      <c r="F1" s="3" t="s">
        <v>3</v>
      </c>
      <c r="G1" s="1" t="s">
        <v>4</v>
      </c>
      <c r="H1" s="1" t="s">
        <v>6</v>
      </c>
      <c r="I1" s="1" t="s">
        <v>7</v>
      </c>
      <c r="J1" s="1" t="s">
        <v>0</v>
      </c>
      <c r="K1" s="1" t="s">
        <v>10</v>
      </c>
      <c r="L1" s="1" t="s">
        <v>11</v>
      </c>
      <c r="M1" s="1" t="s">
        <v>12</v>
      </c>
      <c r="N1" s="1" t="s">
        <v>8</v>
      </c>
      <c r="O1" s="1" t="s">
        <v>9</v>
      </c>
      <c r="P1" s="2" t="s">
        <v>21</v>
      </c>
      <c r="Q1" s="2" t="s">
        <v>18</v>
      </c>
      <c r="R1" s="2" t="s">
        <v>20</v>
      </c>
      <c r="S1" s="2" t="s">
        <v>23</v>
      </c>
      <c r="T1" s="2" t="s">
        <v>24</v>
      </c>
      <c r="U1" s="8" t="s">
        <v>25</v>
      </c>
      <c r="V1" s="8" t="s">
        <v>26</v>
      </c>
      <c r="W1" s="8" t="s">
        <v>27</v>
      </c>
      <c r="X1" s="11" t="s">
        <v>28</v>
      </c>
      <c r="Y1" s="11" t="s">
        <v>29</v>
      </c>
    </row>
    <row r="2" spans="1:25" x14ac:dyDescent="0.35">
      <c r="A2" t="s">
        <v>19</v>
      </c>
      <c r="B2" t="s">
        <v>14</v>
      </c>
      <c r="C2" s="3">
        <f>VLOOKUP(B2,Parameters!$A$2:$D$6,2,0)</f>
        <v>141.96</v>
      </c>
      <c r="D2" s="1">
        <v>20</v>
      </c>
      <c r="E2" s="4">
        <f>VLOOKUP(B2,Parameters!$A$2:$D$6,3,0)</f>
        <v>31</v>
      </c>
      <c r="F2" s="4">
        <f>VLOOKUP(B2,Parameters!$A$2:$D$6,4,0)</f>
        <v>115</v>
      </c>
      <c r="G2" s="1">
        <v>0.02</v>
      </c>
      <c r="H2" s="1">
        <v>0.65</v>
      </c>
      <c r="I2" s="1">
        <v>1.4999999999999999E-2</v>
      </c>
      <c r="J2" s="1">
        <f>VLOOKUP(B2,Parameters!$A$2:$I$6,6,0)</f>
        <v>0.26</v>
      </c>
      <c r="K2" s="1">
        <f>VLOOKUP(B2,Parameters!$A$2:$I$6,7,0)</f>
        <v>12.9</v>
      </c>
      <c r="L2" s="1">
        <f>VLOOKUP(B2,Parameters!$A$2:$I$6,8,0)</f>
        <v>31.3</v>
      </c>
      <c r="M2" s="1">
        <f>VLOOKUP(B2,Parameters!$A$2:$I$6,9,0)</f>
        <v>4.87</v>
      </c>
      <c r="N2" s="1">
        <f>VLOOKUP(B2,Parameters!$A$2:$K$6,10,0)</f>
        <v>145.36704</v>
      </c>
      <c r="O2" s="1">
        <f>VLOOKUP(B2,Parameters!$A$2:$K$6,11,0)</f>
        <v>227.136</v>
      </c>
      <c r="P2" s="2" t="e">
        <f>VLOOKUP(B2,Parameters!$A$2:$F$6,5,0)/C3</f>
        <v>#N/A</v>
      </c>
      <c r="Q2" s="2">
        <f>D2*0.1612/C2</f>
        <v>2.271062271062271E-2</v>
      </c>
      <c r="R2" s="2">
        <f>(E2*0.207+F2*0.1796+C2*H2*G2*27*0.657+I2*273)/C2</f>
        <v>0.45014771569456186</v>
      </c>
      <c r="S2" s="2">
        <f>C2*H2*(1-G2)*0.57/C2</f>
        <v>0.36309000000000002</v>
      </c>
      <c r="T2" s="5">
        <f>(0.015*L2*J2*273+4.274)/C2</f>
        <v>0.26485707241476475</v>
      </c>
      <c r="U2" s="9">
        <f>0.36*H2</f>
        <v>0.23399999999999999</v>
      </c>
      <c r="V2" s="9">
        <f>(N2*0.207+O2*0.1796)/C2</f>
        <v>0.49932799999999999</v>
      </c>
      <c r="W2" s="8">
        <f>(K2*0.96+L2*0.4*8.9+M2*1.8)*J2/C2</f>
        <v>0.24281684981684981</v>
      </c>
      <c r="X2" t="e">
        <f>P2+Q2+R2-U2</f>
        <v>#N/A</v>
      </c>
      <c r="Y2" t="e">
        <f>P2+Q2+R2+S2+T2-V2-W2</f>
        <v>#N/A</v>
      </c>
    </row>
    <row r="3" spans="1:25" x14ac:dyDescent="0.35">
      <c r="A3">
        <v>1</v>
      </c>
      <c r="C3" s="3" t="e">
        <f>VLOOKUP(B3,Parameters!$A$2:$D$6,2,0)</f>
        <v>#N/A</v>
      </c>
      <c r="D3" s="1"/>
      <c r="E3" s="4" t="e">
        <f>VLOOKUP(B3,Parameters!$A$2:$D$6,3,0)</f>
        <v>#N/A</v>
      </c>
      <c r="F3" s="4" t="e">
        <f>VLOOKUP(B3,Parameters!$A$2:$D$6,4,0)</f>
        <v>#N/A</v>
      </c>
      <c r="G3" s="1">
        <v>0.02</v>
      </c>
      <c r="H3" s="1">
        <v>0.65</v>
      </c>
      <c r="I3" s="1">
        <v>1.4999999999999999E-2</v>
      </c>
      <c r="J3" s="1" t="e">
        <f>VLOOKUP(B3,Parameters!$A$2:$I$6,6,0)</f>
        <v>#N/A</v>
      </c>
      <c r="K3" s="1" t="e">
        <f>VLOOKUP(B3,Parameters!$A$2:$I$6,7,0)</f>
        <v>#N/A</v>
      </c>
      <c r="L3" s="1" t="e">
        <f>VLOOKUP(B3,Parameters!$A$2:$I$6,8,0)</f>
        <v>#N/A</v>
      </c>
      <c r="M3" s="1" t="e">
        <f>VLOOKUP(B3,Parameters!$A$2:$I$6,9,0)</f>
        <v>#N/A</v>
      </c>
      <c r="N3" s="1" t="e">
        <f>VLOOKUP(B3,Parameters!$A$2:$K$6,10,0)</f>
        <v>#N/A</v>
      </c>
      <c r="O3" s="1" t="e">
        <f>VLOOKUP(B3,Parameters!$A$2:$K$6,11,0)</f>
        <v>#N/A</v>
      </c>
      <c r="P3" s="2" t="e">
        <f>VLOOKUP(B3,Parameters!$A$2:$F$6,5,0)/C3</f>
        <v>#N/A</v>
      </c>
      <c r="Q3" s="2" t="e">
        <f>D3*0.1612/C3</f>
        <v>#N/A</v>
      </c>
      <c r="R3" s="2" t="e">
        <f>(E3*0.207+F3*0.1796+C3*H3*G3*27*0.657+I3*273)/C3</f>
        <v>#N/A</v>
      </c>
      <c r="S3" s="2" t="e">
        <f>C3*H3*(1-G3)*0.57/C3</f>
        <v>#N/A</v>
      </c>
      <c r="T3" s="5" t="e">
        <f>(0.015*L3*J3*273+4.274)/C3</f>
        <v>#N/A</v>
      </c>
      <c r="U3" s="9">
        <f>0.36*H3</f>
        <v>0.23399999999999999</v>
      </c>
      <c r="V3" s="9" t="e">
        <f>(N3*0.207+O3*0.1796)/C3</f>
        <v>#N/A</v>
      </c>
      <c r="W3" s="8" t="e">
        <f>(K3*0.96+L3*0.4*8.9+M3*1.8)*J3/C3</f>
        <v>#N/A</v>
      </c>
      <c r="X3" t="e">
        <f>P3+Q3+R3-U3</f>
        <v>#N/A</v>
      </c>
      <c r="Y3" t="e">
        <f>P3+Q3+R3+S3+T3-V3-W3</f>
        <v>#N/A</v>
      </c>
    </row>
    <row r="4" spans="1:25" x14ac:dyDescent="0.35">
      <c r="S4"/>
      <c r="U4" s="10"/>
    </row>
    <row r="5" spans="1:25" x14ac:dyDescent="0.35">
      <c r="S5"/>
      <c r="U5" s="10"/>
    </row>
    <row r="6" spans="1:25" x14ac:dyDescent="0.35">
      <c r="S6"/>
      <c r="U6" s="1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Parameters!$A$3:$A$6</xm:f>
          </x14:formula1>
          <xm:sqref>B4:B1048576</xm:sqref>
        </x14:dataValidation>
        <x14:dataValidation type="list" allowBlank="1" showInputMessage="1" showErrorMessage="1">
          <x14:formula1>
            <xm:f>Parameters!$A$2:$A$6</xm:f>
          </x14:formula1>
          <xm:sqref>B2:B3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M4" sqref="M4"/>
    </sheetView>
  </sheetViews>
  <sheetFormatPr defaultRowHeight="14.5" x14ac:dyDescent="0.35"/>
  <cols>
    <col min="10" max="10" width="9.36328125" bestFit="1" customWidth="1"/>
  </cols>
  <sheetData>
    <row r="1" spans="1:11" ht="87" x14ac:dyDescent="0.35">
      <c r="A1" t="s">
        <v>13</v>
      </c>
      <c r="B1" s="3" t="s">
        <v>5</v>
      </c>
      <c r="C1" s="3" t="s">
        <v>2</v>
      </c>
      <c r="D1" s="3" t="s">
        <v>3</v>
      </c>
      <c r="E1" s="3" t="s">
        <v>22</v>
      </c>
      <c r="F1" s="1" t="s">
        <v>0</v>
      </c>
      <c r="G1" s="1" t="s">
        <v>10</v>
      </c>
      <c r="H1" s="1" t="s">
        <v>11</v>
      </c>
      <c r="I1" s="1" t="s">
        <v>12</v>
      </c>
      <c r="J1" s="1" t="s">
        <v>8</v>
      </c>
      <c r="K1" s="1" t="s">
        <v>9</v>
      </c>
    </row>
    <row r="2" spans="1:11" x14ac:dyDescent="0.35">
      <c r="B2" s="3"/>
      <c r="C2" s="3"/>
      <c r="D2" s="3"/>
      <c r="E2" s="3"/>
      <c r="F2" s="1"/>
      <c r="G2" s="1"/>
      <c r="H2" s="1"/>
      <c r="I2" s="1"/>
      <c r="J2" s="1"/>
      <c r="K2" s="1"/>
    </row>
    <row r="3" spans="1:11" x14ac:dyDescent="0.35">
      <c r="A3" t="s">
        <v>14</v>
      </c>
      <c r="B3" s="3">
        <v>141.96</v>
      </c>
      <c r="C3" s="4">
        <v>31</v>
      </c>
      <c r="D3" s="4">
        <v>115</v>
      </c>
      <c r="E3" s="4">
        <v>0</v>
      </c>
      <c r="F3" s="1">
        <v>0.26</v>
      </c>
      <c r="G3" s="1">
        <v>12.9</v>
      </c>
      <c r="H3" s="1">
        <v>31.3</v>
      </c>
      <c r="I3" s="1">
        <v>4.87</v>
      </c>
      <c r="J3" s="1">
        <f>290.73408*0.5</f>
        <v>145.36704</v>
      </c>
      <c r="K3" s="1">
        <f>454.272*0.5</f>
        <v>227.136</v>
      </c>
    </row>
    <row r="4" spans="1:11" x14ac:dyDescent="0.35">
      <c r="A4" t="s">
        <v>15</v>
      </c>
      <c r="B4" s="4">
        <v>22.615384615384613</v>
      </c>
      <c r="C4" s="4">
        <v>23</v>
      </c>
      <c r="D4" s="4">
        <v>82</v>
      </c>
      <c r="E4" s="4">
        <v>0</v>
      </c>
      <c r="F4" s="1">
        <v>8.5000000000000006E-2</v>
      </c>
      <c r="G4" s="7">
        <v>14.9</v>
      </c>
      <c r="H4" s="3">
        <v>40.700000000000003</v>
      </c>
      <c r="I4" s="3">
        <v>17.8</v>
      </c>
      <c r="J4" s="1">
        <v>23.158153846153848</v>
      </c>
      <c r="K4" s="1">
        <v>36.184615384615384</v>
      </c>
    </row>
    <row r="5" spans="1:11" x14ac:dyDescent="0.35">
      <c r="A5" t="s">
        <v>16</v>
      </c>
      <c r="B5" s="4">
        <v>117.69230769230769</v>
      </c>
      <c r="C5" s="4">
        <v>23</v>
      </c>
      <c r="D5" s="4">
        <v>82</v>
      </c>
      <c r="E5" s="6">
        <f>0.39*0.25*1000</f>
        <v>97.5</v>
      </c>
      <c r="F5" s="3">
        <v>0.25</v>
      </c>
      <c r="G5" s="3">
        <v>6.6</v>
      </c>
      <c r="H5" s="3">
        <v>21.5</v>
      </c>
      <c r="I5" s="3">
        <v>9.4</v>
      </c>
      <c r="J5" s="1">
        <v>120.51692307692309</v>
      </c>
      <c r="K5" s="1">
        <v>188.30769230769232</v>
      </c>
    </row>
    <row r="6" spans="1:11" x14ac:dyDescent="0.35">
      <c r="A6" t="s">
        <v>17</v>
      </c>
      <c r="B6" s="4">
        <v>35.07692307692308</v>
      </c>
      <c r="C6" s="4">
        <v>23</v>
      </c>
      <c r="D6" s="4">
        <v>25</v>
      </c>
      <c r="E6" s="6">
        <v>0</v>
      </c>
      <c r="F6" s="3">
        <v>0.1</v>
      </c>
      <c r="G6" s="3">
        <v>5.0999999999999996</v>
      </c>
      <c r="H6" s="3">
        <v>34</v>
      </c>
      <c r="I6" s="3">
        <v>14.8</v>
      </c>
      <c r="J6" s="1">
        <v>35.918769230769236</v>
      </c>
      <c r="K6" s="1">
        <v>56.12307692307693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b902693-1074-40aa-9e21-d89446a2ebb5}" enabled="0" method="" siteId="{6b902693-1074-40aa-9e21-d89446a2ebb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Calculator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Ruosi (PG/R - Chemistry &amp; Chem Eng)</dc:creator>
  <cp:lastModifiedBy>Zhang, Ruosi (PG/R - Chemistry &amp; Chem Eng)</cp:lastModifiedBy>
  <dcterms:created xsi:type="dcterms:W3CDTF">2024-01-29T07:22:41Z</dcterms:created>
  <dcterms:modified xsi:type="dcterms:W3CDTF">2024-01-29T09:24:29Z</dcterms:modified>
</cp:coreProperties>
</file>