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eorgegroupsa-my.sharepoint.com/personal/danieb_thegeorgegroup_co_za/Documents/Danny/Danie Dropbox Backup 300521016/LG External HDD/Regima 2020/"/>
    </mc:Choice>
  </mc:AlternateContent>
  <xr:revisionPtr revIDLastSave="52" documentId="13_ncr:1_{6F5A7AB8-DD41-4EB4-8E98-BD17B3EA91F4}" xr6:coauthVersionLast="45" xr6:coauthVersionMax="45" xr10:uidLastSave="{A3CA2993-C2C8-49F4-9409-0A92FEAEC354}"/>
  <bookViews>
    <workbookView xWindow="-120" yWindow="-120" windowWidth="29040" windowHeight="15840" activeTab="1" xr2:uid="{F35FD93D-CDBF-4787-A075-FC110C75210E}"/>
  </bookViews>
  <sheets>
    <sheet name="TB" sheetId="1" r:id="rId1"/>
    <sheet name="AJEs" sheetId="3" r:id="rId2"/>
  </sheets>
  <externalReferences>
    <externalReference r:id="rId3"/>
  </externalReferences>
  <definedNames>
    <definedName name="_xlnm._FilterDatabase" localSheetId="0" hidden="1">TB!$A$3:$F$134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  <c r="K76" i="1"/>
  <c r="K128" i="1"/>
  <c r="K5" i="1" l="1"/>
  <c r="K86" i="1"/>
  <c r="D58" i="3"/>
  <c r="K85" i="1" l="1"/>
  <c r="K15" i="1" l="1"/>
  <c r="L15" i="1" s="1"/>
  <c r="D47" i="3"/>
  <c r="K95" i="1" l="1"/>
  <c r="K89" i="1"/>
  <c r="P75" i="1" l="1"/>
  <c r="Q75" i="1" s="1"/>
  <c r="K101" i="1"/>
  <c r="K66" i="1"/>
  <c r="K38" i="1"/>
  <c r="K14" i="1"/>
  <c r="J111" i="1"/>
  <c r="D22" i="3"/>
  <c r="D13" i="3"/>
  <c r="K83" i="1" l="1"/>
  <c r="K100" i="1"/>
  <c r="D37" i="3"/>
  <c r="K62" i="1" s="1"/>
  <c r="D25" i="3"/>
  <c r="K37" i="1" s="1"/>
  <c r="K4" i="1"/>
  <c r="L111" i="1"/>
  <c r="L132" i="1"/>
  <c r="H81" i="1"/>
  <c r="J81" i="1" s="1"/>
  <c r="H83" i="1"/>
  <c r="H82" i="1"/>
  <c r="H80" i="1"/>
  <c r="H84" i="1"/>
  <c r="J84" i="1" s="1"/>
  <c r="H130" i="1"/>
  <c r="J130" i="1" s="1"/>
  <c r="H129" i="1"/>
  <c r="J129" i="1" s="1"/>
  <c r="H109" i="1"/>
  <c r="J109" i="1" s="1"/>
  <c r="H110" i="1"/>
  <c r="H131" i="1"/>
  <c r="J131" i="1" s="1"/>
  <c r="H86" i="1"/>
  <c r="J86" i="1" s="1"/>
  <c r="H128" i="1"/>
  <c r="J128" i="1" s="1"/>
  <c r="H127" i="1"/>
  <c r="J127" i="1" s="1"/>
  <c r="H103" i="1"/>
  <c r="H108" i="1"/>
  <c r="J108" i="1" s="1"/>
  <c r="H122" i="1"/>
  <c r="J122" i="1" s="1"/>
  <c r="H133" i="1" l="1"/>
  <c r="K133" i="1"/>
  <c r="L37" i="1"/>
  <c r="J133" i="1"/>
  <c r="G4" i="1" l="1"/>
  <c r="G133" i="1" l="1"/>
  <c r="F5" i="1" l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F92" i="1"/>
  <c r="L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M120" i="1" s="1"/>
  <c r="F121" i="1"/>
  <c r="L121" i="1" s="1"/>
  <c r="M121" i="1" s="1"/>
  <c r="F122" i="1"/>
  <c r="L122" i="1" s="1"/>
  <c r="M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4" i="1"/>
  <c r="F133" i="1" l="1"/>
  <c r="L4" i="1"/>
  <c r="L133" i="1" s="1"/>
  <c r="M75" i="1"/>
  <c r="Q77" i="1" s="1"/>
  <c r="M77" i="1" l="1"/>
  <c r="M78" i="1" s="1"/>
  <c r="N102" i="1"/>
</calcChain>
</file>

<file path=xl/sharedStrings.xml><?xml version="1.0" encoding="utf-8"?>
<sst xmlns="http://schemas.openxmlformats.org/spreadsheetml/2006/main" count="406" uniqueCount="306">
  <si>
    <t>Trial Balance : 01/03/19 to 29/02/20</t>
  </si>
  <si>
    <t>Last Year</t>
  </si>
  <si>
    <t>Account</t>
  </si>
  <si>
    <t/>
  </si>
  <si>
    <t>DR</t>
  </si>
  <si>
    <t>CR</t>
  </si>
  <si>
    <t>1000/000</t>
  </si>
  <si>
    <t>Sales</t>
  </si>
  <si>
    <t>2000/000</t>
  </si>
  <si>
    <t>Cost of Sales</t>
  </si>
  <si>
    <t>2100/000</t>
  </si>
  <si>
    <t>Inventory Adjustment</t>
  </si>
  <si>
    <t>2400/000</t>
  </si>
  <si>
    <t>Manufacture Cost / Recovery</t>
  </si>
  <si>
    <t>2400/010</t>
  </si>
  <si>
    <t>Freight Cost / Recovery</t>
  </si>
  <si>
    <t>2400/020</t>
  </si>
  <si>
    <t>Packaging Cost / Recovery</t>
  </si>
  <si>
    <t>2500/000</t>
  </si>
  <si>
    <t>Pft/Loss on Foreign Currency Exchange</t>
  </si>
  <si>
    <t>2690/000</t>
  </si>
  <si>
    <t>Admin Fee - Received</t>
  </si>
  <si>
    <t>2695/000</t>
  </si>
  <si>
    <t>Courier &amp; Packaging Received</t>
  </si>
  <si>
    <t>2705/000</t>
  </si>
  <si>
    <t>Freight Charges Received</t>
  </si>
  <si>
    <t>2750/000</t>
  </si>
  <si>
    <t>Interest Received</t>
  </si>
  <si>
    <t>2900/000</t>
  </si>
  <si>
    <t>Sundry Income</t>
  </si>
  <si>
    <t>3000/000</t>
  </si>
  <si>
    <t>Accounting Fees</t>
  </si>
  <si>
    <t>3049/000</t>
  </si>
  <si>
    <t>Admin Fee Paid</t>
  </si>
  <si>
    <t>3050/000</t>
  </si>
  <si>
    <t>Advertising  Marketing &amp; Promotions</t>
  </si>
  <si>
    <t>3051/000</t>
  </si>
  <si>
    <t>Trade Exhibitions</t>
  </si>
  <si>
    <t>3120/000</t>
  </si>
  <si>
    <t>Annual Fees</t>
  </si>
  <si>
    <t>3200/000</t>
  </si>
  <si>
    <t>Bank Charges</t>
  </si>
  <si>
    <t>3250/000</t>
  </si>
  <si>
    <t>Cleaning</t>
  </si>
  <si>
    <t>3300/000</t>
  </si>
  <si>
    <t>Computer Expenses</t>
  </si>
  <si>
    <t>3300/100</t>
  </si>
  <si>
    <t>Computer Expenses - Hardware</t>
  </si>
  <si>
    <t>3300/200</t>
  </si>
  <si>
    <t>Computer Expenses - Web Platforms</t>
  </si>
  <si>
    <t>3300/300</t>
  </si>
  <si>
    <t>Computer Expenses - Creative Platforms</t>
  </si>
  <si>
    <t>3300/400</t>
  </si>
  <si>
    <t>Computer Expenses - Office Platforms</t>
  </si>
  <si>
    <t>3300/500</t>
  </si>
  <si>
    <t>Computer Expenses -Educational Platforms</t>
  </si>
  <si>
    <t>3300/600</t>
  </si>
  <si>
    <t>Computer Expenses - Projects &amp; Dev</t>
  </si>
  <si>
    <t>3300/700</t>
  </si>
  <si>
    <t>Computer Expenses - Apps</t>
  </si>
  <si>
    <t>3300/800</t>
  </si>
  <si>
    <t>Computer Expenses -Repairs &amp; Maintenance</t>
  </si>
  <si>
    <t>3350/000</t>
  </si>
  <si>
    <t>Consulting Fees</t>
  </si>
  <si>
    <t>3400/000</t>
  </si>
  <si>
    <t>Courier &amp; Postage</t>
  </si>
  <si>
    <t>3400/025</t>
  </si>
  <si>
    <t>Courier &amp; Packaging - Paid</t>
  </si>
  <si>
    <t>3400/030</t>
  </si>
  <si>
    <t>Postage + Courier Costs</t>
  </si>
  <si>
    <t>3500/000</t>
  </si>
  <si>
    <t>Directors Fee / Members Remuneration</t>
  </si>
  <si>
    <t>3550/000</t>
  </si>
  <si>
    <t>Discount Allowed for Cash</t>
  </si>
  <si>
    <t>3650/000</t>
  </si>
  <si>
    <t>Electricity &amp; Water</t>
  </si>
  <si>
    <t>3700/000</t>
  </si>
  <si>
    <t>Entertainment Expenses</t>
  </si>
  <si>
    <t>3760/000</t>
  </si>
  <si>
    <t>Freight Charges</t>
  </si>
  <si>
    <t>3760/025</t>
  </si>
  <si>
    <t>Freight Charges - Paid</t>
  </si>
  <si>
    <t>3765/000</t>
  </si>
  <si>
    <t>Warehouse Charges</t>
  </si>
  <si>
    <t>3770/000</t>
  </si>
  <si>
    <t>Forex Charges</t>
  </si>
  <si>
    <t>3800/000</t>
  </si>
  <si>
    <t>General Expenses</t>
  </si>
  <si>
    <t>3800/010</t>
  </si>
  <si>
    <t>General Expenses - Gifts</t>
  </si>
  <si>
    <t>3800/030</t>
  </si>
  <si>
    <t>General Expenses - Factory Consummables</t>
  </si>
  <si>
    <t>3800/040</t>
  </si>
  <si>
    <t>General Expenses - Protective Clothing</t>
  </si>
  <si>
    <t>3850/000</t>
  </si>
  <si>
    <t>Insurance</t>
  </si>
  <si>
    <t>3900/000</t>
  </si>
  <si>
    <t>Interest Paid</t>
  </si>
  <si>
    <t>4000/000</t>
  </si>
  <si>
    <t>Legal Fees</t>
  </si>
  <si>
    <t>4050/000</t>
  </si>
  <si>
    <t>Levies</t>
  </si>
  <si>
    <t>4150/000</t>
  </si>
  <si>
    <t>Motor Vehicle Expenses</t>
  </si>
  <si>
    <t>4150/010</t>
  </si>
  <si>
    <t>Motor Vehicle - Petrol &amp; Oil</t>
  </si>
  <si>
    <t>4150/020</t>
  </si>
  <si>
    <t>Motor Vehicle - Repairs &amp; Maint.</t>
  </si>
  <si>
    <t>4150/030</t>
  </si>
  <si>
    <t>Motor Vehicle - Insurance &amp; Licence</t>
  </si>
  <si>
    <t>4200/000</t>
  </si>
  <si>
    <t>Printing &amp; Stationery</t>
  </si>
  <si>
    <t>4201/000</t>
  </si>
  <si>
    <t>Printing - Once Off Costs - New Products</t>
  </si>
  <si>
    <t>4205/000</t>
  </si>
  <si>
    <t>Product Development / R &amp; D</t>
  </si>
  <si>
    <t>4300/000</t>
  </si>
  <si>
    <t>Rent Paid</t>
  </si>
  <si>
    <t>4350/000</t>
  </si>
  <si>
    <t>Repairs &amp; Maintenance</t>
  </si>
  <si>
    <t>4400/000</t>
  </si>
  <si>
    <t>Salaries &amp; Wages</t>
  </si>
  <si>
    <t>4401/000</t>
  </si>
  <si>
    <t>Salaries - UIF</t>
  </si>
  <si>
    <t>4402/000</t>
  </si>
  <si>
    <t>Salaries - Skills Development Levy</t>
  </si>
  <si>
    <t>4403/000</t>
  </si>
  <si>
    <t>Salaries - PAYE</t>
  </si>
  <si>
    <t>4410/000</t>
  </si>
  <si>
    <t>Security</t>
  </si>
  <si>
    <t>4450/000</t>
  </si>
  <si>
    <t>Training Costs</t>
  </si>
  <si>
    <t>4500/000</t>
  </si>
  <si>
    <t>Staff Welfare</t>
  </si>
  <si>
    <t>4600/000</t>
  </si>
  <si>
    <t>Telephone &amp; Fax</t>
  </si>
  <si>
    <t>4601/000</t>
  </si>
  <si>
    <t>Telephone -Cellular</t>
  </si>
  <si>
    <t>4650/000</t>
  </si>
  <si>
    <t>Travel &amp; Accommodation</t>
  </si>
  <si>
    <t>4650/010</t>
  </si>
  <si>
    <t>Travel - Local</t>
  </si>
  <si>
    <t>4650/020</t>
  </si>
  <si>
    <t>Travel - Overseas</t>
  </si>
  <si>
    <t>4700/000</t>
  </si>
  <si>
    <t>Workmen's Compensation</t>
  </si>
  <si>
    <t>Nett Profit</t>
  </si>
  <si>
    <t>5100/000</t>
  </si>
  <si>
    <t>Share Capital / Members Contribution</t>
  </si>
  <si>
    <t>5200/000</t>
  </si>
  <si>
    <t>Retained Income / (Accumulated Loss)</t>
  </si>
  <si>
    <t>5400/000</t>
  </si>
  <si>
    <t>Share Holders / Directors / Members Loan</t>
  </si>
  <si>
    <t>5461/000</t>
  </si>
  <si>
    <t>D Faucitt - Expenses Loan Account</t>
  </si>
  <si>
    <t>5462/000</t>
  </si>
  <si>
    <t>Members - Expenses Loan Account</t>
  </si>
  <si>
    <t>5464/000</t>
  </si>
  <si>
    <t>RegimA Worlwide - Loan account</t>
  </si>
  <si>
    <t>5466/000</t>
  </si>
  <si>
    <t>Strategic Logistics - Loan Account</t>
  </si>
  <si>
    <t>6150/000</t>
  </si>
  <si>
    <t>Plant &amp; Machinery - Net Value</t>
  </si>
  <si>
    <t>6150/010</t>
  </si>
  <si>
    <t>Plant &amp; Machinery - @ Cost</t>
  </si>
  <si>
    <t>6150/020</t>
  </si>
  <si>
    <t>Plant &amp; Machinery - Accum Depre</t>
  </si>
  <si>
    <t>6200/000</t>
  </si>
  <si>
    <t>Motor Vehicles - Net Value</t>
  </si>
  <si>
    <t>6200/010</t>
  </si>
  <si>
    <t>Motor Vehicles - @ Cost</t>
  </si>
  <si>
    <t>6200/020</t>
  </si>
  <si>
    <t>Motor Vehicles - Accum Depre</t>
  </si>
  <si>
    <t>6250/000</t>
  </si>
  <si>
    <t>Computer Equipment - Net Value</t>
  </si>
  <si>
    <t>6250/010</t>
  </si>
  <si>
    <t>Computer Equipment - @ Cost</t>
  </si>
  <si>
    <t>6250/020</t>
  </si>
  <si>
    <t>Computer Equipment - Accum Depre</t>
  </si>
  <si>
    <t>6300/000</t>
  </si>
  <si>
    <t>Office Equipment - Net Value</t>
  </si>
  <si>
    <t>6300/010</t>
  </si>
  <si>
    <t>Office Equipment - @ Cost</t>
  </si>
  <si>
    <t>6300/020</t>
  </si>
  <si>
    <t>Office Equipment - Accum Depre</t>
  </si>
  <si>
    <t>6350/000</t>
  </si>
  <si>
    <t>Furniture &amp; Fittings - Net value</t>
  </si>
  <si>
    <t>6350/010</t>
  </si>
  <si>
    <t>Furniture &amp; Fittings - @ Cost</t>
  </si>
  <si>
    <t>6350/020</t>
  </si>
  <si>
    <t>Furniture &amp; Fittings - Accum Depre</t>
  </si>
  <si>
    <t>6600/000</t>
  </si>
  <si>
    <t>Trade Mark - Net Value</t>
  </si>
  <si>
    <t>6600/010</t>
  </si>
  <si>
    <t>Trade Mark - @ Cost</t>
  </si>
  <si>
    <t>7500/000</t>
  </si>
  <si>
    <t>Inventory Control - Raw Mat - Product</t>
  </si>
  <si>
    <t>7550/000</t>
  </si>
  <si>
    <t>Inventory Control - Inserts Lables &amp; SND</t>
  </si>
  <si>
    <t>7650/000</t>
  </si>
  <si>
    <t>Inventory Control - Raw Mat - Empty Cont</t>
  </si>
  <si>
    <t>7700/000</t>
  </si>
  <si>
    <t>Inventory Control - Finished Goods</t>
  </si>
  <si>
    <t>7750/000</t>
  </si>
  <si>
    <t>Inventory Control - Raw Mat - Boxes</t>
  </si>
  <si>
    <t>8000/000</t>
  </si>
  <si>
    <t>Customer Control Account</t>
  </si>
  <si>
    <t>8200/000</t>
  </si>
  <si>
    <t>Sundry Customers</t>
  </si>
  <si>
    <t>8200/030</t>
  </si>
  <si>
    <t>Loan- RegimA Intl Skin Treatments (36B)</t>
  </si>
  <si>
    <t>8200/040</t>
  </si>
  <si>
    <t>Loan- Rivonia Axis</t>
  </si>
  <si>
    <t>8200/050</t>
  </si>
  <si>
    <t>Raw Materials - Stock (Prime Products)</t>
  </si>
  <si>
    <t>8400/000</t>
  </si>
  <si>
    <t>FNB</t>
  </si>
  <si>
    <t>8410/000</t>
  </si>
  <si>
    <t>Petty Cash</t>
  </si>
  <si>
    <t>8420/000</t>
  </si>
  <si>
    <t>FNB Savings Account</t>
  </si>
  <si>
    <t>8440/000</t>
  </si>
  <si>
    <t>FNB - Credit Cards</t>
  </si>
  <si>
    <t>8460/000</t>
  </si>
  <si>
    <t>Do Not Use - EURO</t>
  </si>
  <si>
    <t>8470/000</t>
  </si>
  <si>
    <t>FNB - CFC Account - US $</t>
  </si>
  <si>
    <t>8480/000</t>
  </si>
  <si>
    <t>FNB - CFC Account - €</t>
  </si>
  <si>
    <t>8490/000</t>
  </si>
  <si>
    <t>FNB - CFC Account - £</t>
  </si>
  <si>
    <t>8499/000</t>
  </si>
  <si>
    <t>Inter Bank Transfer Account</t>
  </si>
  <si>
    <t>9000/000</t>
  </si>
  <si>
    <t>Supplier Control Account</t>
  </si>
  <si>
    <t>9200/000</t>
  </si>
  <si>
    <t>Sundry Suppliers</t>
  </si>
  <si>
    <t>9200/030</t>
  </si>
  <si>
    <t>PAYE Control</t>
  </si>
  <si>
    <t>9250/000</t>
  </si>
  <si>
    <t>Salary &amp; Wages Control</t>
  </si>
  <si>
    <t>9300/000</t>
  </si>
  <si>
    <t>Taxation Payable</t>
  </si>
  <si>
    <t>9370/000</t>
  </si>
  <si>
    <t>Accrual - Rezonance</t>
  </si>
  <si>
    <t>9380/000</t>
  </si>
  <si>
    <t>Accrual - RegimA Zone Academy</t>
  </si>
  <si>
    <t>9500/000</t>
  </si>
  <si>
    <t>Vat / Tax Control Account</t>
  </si>
  <si>
    <t>Total</t>
  </si>
  <si>
    <t>REGIMA SKIN TREATMENTS</t>
  </si>
  <si>
    <t>SALES ADJUSTMENTS</t>
  </si>
  <si>
    <t>Prepayments</t>
  </si>
  <si>
    <t>OPENING BALANCE ADJSUTMENTS</t>
  </si>
  <si>
    <t>AJE'S</t>
  </si>
  <si>
    <t>FINAL TB</t>
  </si>
  <si>
    <t>AJE's</t>
  </si>
  <si>
    <t>COS</t>
  </si>
  <si>
    <t>Loan SL</t>
  </si>
  <si>
    <t>Reallocate incorrect COS</t>
  </si>
  <si>
    <t>DF expense account</t>
  </si>
  <si>
    <t>members expense acc</t>
  </si>
  <si>
    <t>Reallocate expense accounts</t>
  </si>
  <si>
    <t>Loan Strategic Logistics</t>
  </si>
  <si>
    <t>Interest received</t>
  </si>
  <si>
    <t>Interest received on SL loan for the year per loan agreement</t>
  </si>
  <si>
    <t>Repairs &amp; Maint</t>
  </si>
  <si>
    <t>Sundry Debtor - Villa Via</t>
  </si>
  <si>
    <t>5460/000</t>
  </si>
  <si>
    <t>Villa Via loan reallocated</t>
  </si>
  <si>
    <t>Directors fee</t>
  </si>
  <si>
    <t>Salaries -PAYE</t>
  </si>
  <si>
    <t>Re-allocate PAYE to director's salaries</t>
  </si>
  <si>
    <t>Depreciation</t>
  </si>
  <si>
    <t>3450/000</t>
  </si>
  <si>
    <t>Acc Depr Office Equipment</t>
  </si>
  <si>
    <t>Acc Depr Office Furniture</t>
  </si>
  <si>
    <t>Acc Depr PPE</t>
  </si>
  <si>
    <t>Depreciation for the year</t>
  </si>
  <si>
    <t>Normal taxation</t>
  </si>
  <si>
    <t>4800/000</t>
  </si>
  <si>
    <t>Deferred taxation</t>
  </si>
  <si>
    <t>4900/000</t>
  </si>
  <si>
    <t>Provision for tax</t>
  </si>
  <si>
    <t>Deferred tax asset</t>
  </si>
  <si>
    <t>5300/000</t>
  </si>
  <si>
    <t>Taxation entries for the year</t>
  </si>
  <si>
    <t>Furniture &amp; Fittings</t>
  </si>
  <si>
    <t>Re-allocation of small assets bought and deposit paid on Plant</t>
  </si>
  <si>
    <t>Sales adjustment entry</t>
  </si>
  <si>
    <t>PER BS 28.2.19</t>
  </si>
  <si>
    <t>SUMMARY 28.2.19</t>
  </si>
  <si>
    <t>Prov Tax</t>
  </si>
  <si>
    <t>Interest received SARS</t>
  </si>
  <si>
    <t>Cr</t>
  </si>
  <si>
    <t>SARS</t>
  </si>
  <si>
    <t>2755/000</t>
  </si>
  <si>
    <t>New account</t>
  </si>
  <si>
    <t>Interest on overpayment of prov tax 2019</t>
  </si>
  <si>
    <t>Interest Received - SARS</t>
  </si>
  <si>
    <t>Loan RWWD</t>
  </si>
  <si>
    <t>Reallocation of production costs</t>
  </si>
  <si>
    <t>Admin fee paid</t>
  </si>
  <si>
    <t>Transfer production costs</t>
  </si>
  <si>
    <t>Taxation</t>
  </si>
  <si>
    <t>Tax entry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</si>
</sst>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quotePrefix="1"/>
    <xf numFmtId="43" fontId="0" fillId="0" borderId="0" xfId="1" quotePrefix="1" applyFont="1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43" fontId="2" fillId="0" borderId="0" xfId="1" quotePrefix="1" applyFont="1"/>
    <xf numFmtId="0" fontId="2" fillId="0" borderId="0" xfId="0" applyFont="1"/>
    <xf numFmtId="43" fontId="2" fillId="0" borderId="0" xfId="1" applyFont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quotePrefix="1" applyFont="1" applyFill="1"/>
    <xf numFmtId="43" fontId="0" fillId="6" borderId="0" xfId="1" applyFont="1" applyFill="1"/>
    <xf numFmtId="43" fontId="0" fillId="7" borderId="0" xfId="1" applyFont="1" applyFill="1"/>
    <xf numFmtId="43" fontId="0" fillId="7" borderId="0" xfId="1" quotePrefix="1" applyFont="1" applyFill="1"/>
    <xf numFmtId="43" fontId="0" fillId="8" borderId="0" xfId="1" applyFont="1" applyFill="1"/>
    <xf numFmtId="43" fontId="0" fillId="9" borderId="0" xfId="1" applyFont="1" applyFill="1"/>
    <xf numFmtId="43" fontId="0" fillId="10" borderId="0" xfId="1" applyFont="1" applyFill="1"/>
    <xf numFmtId="43" fontId="0" fillId="11" borderId="0" xfId="1" applyFont="1" applyFill="1"/>
    <xf numFmtId="43" fontId="0" fillId="12" borderId="0" xfId="1" applyFont="1" applyFill="1"/>
    <xf numFmtId="43" fontId="0" fillId="13" borderId="0" xfId="1" applyFont="1" applyFill="1"/>
    <xf numFmtId="43" fontId="2" fillId="14" borderId="0" xfId="1" applyFont="1" applyFill="1"/>
    <xf numFmtId="43" fontId="2" fillId="0" borderId="1" xfId="1" quotePrefix="1" applyFont="1" applyBorder="1"/>
    <xf numFmtId="0" fontId="2" fillId="0" borderId="2" xfId="0" quotePrefix="1" applyFont="1" applyBorder="1"/>
    <xf numFmtId="43" fontId="2" fillId="0" borderId="2" xfId="1" quotePrefix="1" applyFont="1" applyBorder="1"/>
    <xf numFmtId="43" fontId="2" fillId="2" borderId="2" xfId="1" applyFont="1" applyFill="1" applyBorder="1"/>
    <xf numFmtId="0" fontId="2" fillId="3" borderId="2" xfId="0" applyFont="1" applyFill="1" applyBorder="1" applyAlignment="1">
      <alignment wrapText="1"/>
    </xf>
    <xf numFmtId="43" fontId="2" fillId="0" borderId="2" xfId="1" applyFont="1" applyBorder="1"/>
    <xf numFmtId="43" fontId="2" fillId="12" borderId="2" xfId="1" applyFont="1" applyFill="1" applyBorder="1" applyAlignment="1">
      <alignment horizontal="center" wrapText="1"/>
    </xf>
    <xf numFmtId="43" fontId="2" fillId="13" borderId="2" xfId="1" applyFont="1" applyFill="1" applyBorder="1"/>
    <xf numFmtId="43" fontId="2" fillId="14" borderId="3" xfId="1" applyFont="1" applyFill="1" applyBorder="1"/>
    <xf numFmtId="0" fontId="3" fillId="0" borderId="0" xfId="0" applyFont="1"/>
    <xf numFmtId="14" fontId="3" fillId="0" borderId="0" xfId="0" applyNumberFormat="1" applyFont="1"/>
    <xf numFmtId="164" fontId="0" fillId="0" borderId="0" xfId="2" applyFont="1"/>
    <xf numFmtId="164" fontId="0" fillId="0" borderId="0" xfId="2" applyFont="1" applyFill="1"/>
    <xf numFmtId="43" fontId="2" fillId="0" borderId="2" xfId="1" applyFont="1" applyBorder="1" applyAlignment="1">
      <alignment horizontal="center" wrapText="1"/>
    </xf>
    <xf numFmtId="43" fontId="0" fillId="2" borderId="0" xfId="1" applyFont="1" applyFill="1"/>
    <xf numFmtId="43" fontId="0" fillId="15" borderId="0" xfId="1" applyFont="1" applyFill="1"/>
    <xf numFmtId="43" fontId="2" fillId="14" borderId="4" xfId="1" applyFont="1" applyFill="1" applyBorder="1"/>
  </cellXfs>
  <cellStyles count="3">
    <cellStyle name="Comma" xfId="1" builtinId="3"/>
    <cellStyle name="Comma 2" xfId="2" xr:uid="{76A410A1-3898-4665-8E4C-4A0F05B5709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mA%20AFS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Info page"/>
      <sheetName val="Report"/>
      <sheetName val="IS"/>
      <sheetName val="IS."/>
      <sheetName val="BS"/>
      <sheetName val="Changes in equity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6EB4-0C00-4D06-9CBF-99976C5F2D2E}">
  <dimension ref="A1:Q134"/>
  <sheetViews>
    <sheetView zoomScale="80" zoomScaleNormal="80" workbookViewId="0">
      <pane ySplit="3" topLeftCell="A112" activePane="bottomLeft" state="frozen"/>
      <selection pane="bottomLeft" activeCell="L128" sqref="L128"/>
    </sheetView>
  </sheetViews>
  <sheetFormatPr defaultRowHeight="15" x14ac:dyDescent="0.25"/>
  <cols>
    <col min="1" max="1" width="14.85546875" style="3" customWidth="1"/>
    <col min="2" max="2" width="8.85546875" bestFit="1" customWidth="1"/>
    <col min="3" max="3" width="41.140625" bestFit="1" customWidth="1"/>
    <col min="4" max="5" width="15.140625" style="3" bestFit="1" customWidth="1"/>
    <col min="6" max="6" width="15.140625" bestFit="1" customWidth="1"/>
    <col min="7" max="7" width="14.140625" bestFit="1" customWidth="1"/>
    <col min="8" max="8" width="15.140625" style="3" bestFit="1" customWidth="1"/>
    <col min="9" max="9" width="16" style="3" bestFit="1" customWidth="1"/>
    <col min="10" max="10" width="15" style="3" customWidth="1"/>
    <col min="11" max="11" width="12.28515625" style="3" bestFit="1" customWidth="1"/>
    <col min="12" max="12" width="15.140625" style="3" bestFit="1" customWidth="1"/>
    <col min="13" max="14" width="13.85546875" style="3" bestFit="1" customWidth="1"/>
    <col min="15" max="15" width="10.28515625" style="3" bestFit="1" customWidth="1"/>
    <col min="16" max="16" width="12.28515625" style="3" bestFit="1" customWidth="1"/>
    <col min="17" max="17" width="13.85546875" bestFit="1" customWidth="1"/>
  </cols>
  <sheetData>
    <row r="1" spans="1:16" s="9" customFormat="1" x14ac:dyDescent="0.25">
      <c r="A1" s="8" t="s">
        <v>250</v>
      </c>
      <c r="D1" s="10"/>
      <c r="E1" s="10"/>
      <c r="H1" s="10"/>
      <c r="I1" s="10"/>
      <c r="J1" s="10"/>
      <c r="K1" s="10"/>
      <c r="L1" s="10"/>
      <c r="M1" s="10"/>
      <c r="N1" s="10"/>
      <c r="O1" s="10"/>
      <c r="P1" s="10"/>
    </row>
    <row r="2" spans="1:16" s="9" customFormat="1" ht="15.75" thickBot="1" x14ac:dyDescent="0.3">
      <c r="A2" s="8" t="s">
        <v>0</v>
      </c>
      <c r="D2" s="10"/>
      <c r="E2" s="10"/>
      <c r="H2" s="10"/>
      <c r="I2" s="10"/>
      <c r="J2" s="10"/>
      <c r="K2" s="10"/>
      <c r="L2" s="10"/>
      <c r="M2" s="10"/>
      <c r="N2" s="10"/>
      <c r="O2" s="10"/>
      <c r="P2" s="10"/>
    </row>
    <row r="3" spans="1:16" s="9" customFormat="1" ht="60.75" thickBot="1" x14ac:dyDescent="0.3">
      <c r="A3" s="25" t="s">
        <v>1</v>
      </c>
      <c r="B3" s="26" t="s">
        <v>2</v>
      </c>
      <c r="C3" s="26" t="s">
        <v>3</v>
      </c>
      <c r="D3" s="27" t="s">
        <v>4</v>
      </c>
      <c r="E3" s="27" t="s">
        <v>5</v>
      </c>
      <c r="F3" s="28" t="s">
        <v>249</v>
      </c>
      <c r="G3" s="29" t="s">
        <v>251</v>
      </c>
      <c r="H3" s="38" t="s">
        <v>291</v>
      </c>
      <c r="I3" s="30" t="s">
        <v>290</v>
      </c>
      <c r="J3" s="31" t="s">
        <v>253</v>
      </c>
      <c r="K3" s="32" t="s">
        <v>254</v>
      </c>
      <c r="L3" s="33" t="s">
        <v>255</v>
      </c>
      <c r="M3" s="10"/>
      <c r="N3" s="10"/>
      <c r="O3" s="10"/>
      <c r="P3" s="10"/>
    </row>
    <row r="4" spans="1:16" x14ac:dyDescent="0.25">
      <c r="A4" s="3">
        <v>-27025275.34</v>
      </c>
      <c r="B4" s="1" t="s">
        <v>6</v>
      </c>
      <c r="C4" s="1" t="s">
        <v>7</v>
      </c>
      <c r="D4" s="2">
        <v>0</v>
      </c>
      <c r="E4" s="3">
        <v>20666388.02</v>
      </c>
      <c r="F4" s="5">
        <f>+D4-E4</f>
        <v>-20666388.02</v>
      </c>
      <c r="G4" s="7">
        <f>-SUM(G5:G23)</f>
        <v>-1014287.74</v>
      </c>
      <c r="J4" s="22"/>
      <c r="K4" s="23">
        <f>+AJEs!D43</f>
        <v>-141382.85</v>
      </c>
      <c r="L4" s="24">
        <f>+F4+G4+J4+K4</f>
        <v>-21822058.609999999</v>
      </c>
    </row>
    <row r="5" spans="1:16" x14ac:dyDescent="0.25">
      <c r="A5" s="3">
        <v>11445223.810000001</v>
      </c>
      <c r="B5" s="1" t="s">
        <v>8</v>
      </c>
      <c r="C5" s="1" t="s">
        <v>9</v>
      </c>
      <c r="D5" s="3">
        <v>8819838.7200000007</v>
      </c>
      <c r="E5" s="3">
        <v>0</v>
      </c>
      <c r="F5" s="5">
        <f t="shared" ref="F5:F70" si="0">+D5-E5</f>
        <v>8819838.7200000007</v>
      </c>
      <c r="G5" s="7"/>
      <c r="J5" s="22"/>
      <c r="K5" s="23">
        <f>+AJEs!D42+AJEs!D8+AJEs!D51+AJEs!D58</f>
        <v>-613617.15000000224</v>
      </c>
      <c r="L5" s="24">
        <f t="shared" ref="L5:L70" si="1">+F5+G5+J5+K5</f>
        <v>8206221.5699999984</v>
      </c>
    </row>
    <row r="6" spans="1:16" x14ac:dyDescent="0.25">
      <c r="A6" s="3">
        <v>186764.07019999999</v>
      </c>
      <c r="B6" s="1" t="s">
        <v>10</v>
      </c>
      <c r="C6" s="1" t="s">
        <v>11</v>
      </c>
      <c r="D6" s="3">
        <v>87693.1731</v>
      </c>
      <c r="E6" s="3">
        <v>0</v>
      </c>
      <c r="F6" s="5">
        <f t="shared" si="0"/>
        <v>87693.1731</v>
      </c>
      <c r="G6" s="7"/>
      <c r="J6" s="22"/>
      <c r="K6" s="23"/>
      <c r="L6" s="24">
        <f t="shared" si="1"/>
        <v>87693.1731</v>
      </c>
    </row>
    <row r="7" spans="1:16" x14ac:dyDescent="0.25">
      <c r="A7" s="2" t="s">
        <v>3</v>
      </c>
      <c r="B7" s="1" t="s">
        <v>12</v>
      </c>
      <c r="C7" s="1" t="s">
        <v>13</v>
      </c>
      <c r="D7" s="2">
        <v>0</v>
      </c>
      <c r="E7" s="3">
        <v>0</v>
      </c>
      <c r="F7" s="5">
        <f t="shared" si="0"/>
        <v>0</v>
      </c>
      <c r="G7" s="7"/>
      <c r="J7" s="22"/>
      <c r="K7" s="23"/>
      <c r="L7" s="24">
        <f t="shared" si="1"/>
        <v>0</v>
      </c>
    </row>
    <row r="8" spans="1:16" x14ac:dyDescent="0.25">
      <c r="A8" s="3">
        <v>-1709.12</v>
      </c>
      <c r="B8" s="1" t="s">
        <v>14</v>
      </c>
      <c r="C8" s="1" t="s">
        <v>15</v>
      </c>
      <c r="D8" s="2">
        <v>0</v>
      </c>
      <c r="E8" s="3">
        <v>0</v>
      </c>
      <c r="F8" s="5">
        <f t="shared" si="0"/>
        <v>0</v>
      </c>
      <c r="G8" s="7"/>
      <c r="J8" s="22"/>
      <c r="K8" s="23"/>
      <c r="L8" s="24">
        <f t="shared" si="1"/>
        <v>0</v>
      </c>
    </row>
    <row r="9" spans="1:16" x14ac:dyDescent="0.25">
      <c r="A9" s="3">
        <v>-341.04</v>
      </c>
      <c r="B9" s="1" t="s">
        <v>16</v>
      </c>
      <c r="C9" s="1" t="s">
        <v>17</v>
      </c>
      <c r="D9" s="2">
        <v>0</v>
      </c>
      <c r="E9" s="3">
        <v>0</v>
      </c>
      <c r="F9" s="5">
        <f t="shared" si="0"/>
        <v>0</v>
      </c>
      <c r="G9" s="7"/>
      <c r="J9" s="22"/>
      <c r="K9" s="23"/>
      <c r="L9" s="24">
        <f t="shared" si="1"/>
        <v>0</v>
      </c>
    </row>
    <row r="10" spans="1:16" x14ac:dyDescent="0.25">
      <c r="A10" s="3">
        <v>50900.54</v>
      </c>
      <c r="B10" s="1" t="s">
        <v>18</v>
      </c>
      <c r="C10" s="1" t="s">
        <v>19</v>
      </c>
      <c r="D10" s="2">
        <v>0</v>
      </c>
      <c r="E10" s="3">
        <v>53177.279999999999</v>
      </c>
      <c r="F10" s="5">
        <f t="shared" si="0"/>
        <v>-53177.279999999999</v>
      </c>
      <c r="G10" s="7"/>
      <c r="J10" s="22"/>
      <c r="K10" s="23"/>
      <c r="L10" s="24">
        <f t="shared" si="1"/>
        <v>-53177.279999999999</v>
      </c>
    </row>
    <row r="11" spans="1:16" x14ac:dyDescent="0.25">
      <c r="A11" s="3">
        <v>-200839.23</v>
      </c>
      <c r="B11" s="1" t="s">
        <v>20</v>
      </c>
      <c r="C11" s="1" t="s">
        <v>21</v>
      </c>
      <c r="D11" s="2">
        <v>0</v>
      </c>
      <c r="E11" s="3">
        <v>998818.36</v>
      </c>
      <c r="F11" s="5">
        <f t="shared" si="0"/>
        <v>-998818.36</v>
      </c>
      <c r="G11" s="7">
        <v>998818.36</v>
      </c>
      <c r="J11" s="22"/>
      <c r="K11" s="23"/>
      <c r="L11" s="24">
        <f t="shared" si="1"/>
        <v>0</v>
      </c>
    </row>
    <row r="12" spans="1:16" x14ac:dyDescent="0.25">
      <c r="A12" s="3">
        <v>0</v>
      </c>
      <c r="B12" s="1" t="s">
        <v>22</v>
      </c>
      <c r="C12" s="1" t="s">
        <v>23</v>
      </c>
      <c r="D12" s="2">
        <v>0</v>
      </c>
      <c r="E12" s="3">
        <v>5329.8</v>
      </c>
      <c r="F12" s="5">
        <f t="shared" si="0"/>
        <v>-5329.8</v>
      </c>
      <c r="G12" s="7">
        <v>5329.8</v>
      </c>
      <c r="J12" s="22"/>
      <c r="K12" s="23"/>
      <c r="L12" s="24">
        <f t="shared" si="1"/>
        <v>0</v>
      </c>
    </row>
    <row r="13" spans="1:16" x14ac:dyDescent="0.25">
      <c r="A13" s="3">
        <v>0</v>
      </c>
      <c r="B13" s="1" t="s">
        <v>24</v>
      </c>
      <c r="C13" s="1" t="s">
        <v>25</v>
      </c>
      <c r="D13" s="2">
        <v>0</v>
      </c>
      <c r="E13" s="3">
        <v>5576.71</v>
      </c>
      <c r="F13" s="5">
        <f t="shared" si="0"/>
        <v>-5576.71</v>
      </c>
      <c r="G13" s="7">
        <v>5576.71</v>
      </c>
      <c r="J13" s="22"/>
      <c r="K13" s="23"/>
      <c r="L13" s="24">
        <f t="shared" si="1"/>
        <v>0</v>
      </c>
    </row>
    <row r="14" spans="1:16" x14ac:dyDescent="0.25">
      <c r="A14" s="3">
        <v>-1561289.42</v>
      </c>
      <c r="B14" s="1" t="s">
        <v>26</v>
      </c>
      <c r="C14" s="1" t="s">
        <v>27</v>
      </c>
      <c r="D14" s="2">
        <v>0</v>
      </c>
      <c r="E14" s="3">
        <v>1468446.09</v>
      </c>
      <c r="F14" s="5">
        <f t="shared" si="0"/>
        <v>-1468446.09</v>
      </c>
      <c r="G14" s="7"/>
      <c r="J14" s="22"/>
      <c r="K14" s="23">
        <f>+AJEs!D14</f>
        <v>-414334.09017331153</v>
      </c>
      <c r="L14" s="24">
        <f t="shared" si="1"/>
        <v>-1882780.1801733116</v>
      </c>
    </row>
    <row r="15" spans="1:16" x14ac:dyDescent="0.25">
      <c r="B15" s="1" t="s">
        <v>296</v>
      </c>
      <c r="C15" s="1" t="s">
        <v>299</v>
      </c>
      <c r="D15" s="2"/>
      <c r="F15" s="5"/>
      <c r="G15" s="7"/>
      <c r="J15" s="22"/>
      <c r="K15" s="23">
        <f>+AJEs!D46</f>
        <v>-79331.78</v>
      </c>
      <c r="L15" s="24">
        <f t="shared" si="1"/>
        <v>-79331.78</v>
      </c>
    </row>
    <row r="16" spans="1:16" x14ac:dyDescent="0.25">
      <c r="A16" s="3">
        <v>-48.56</v>
      </c>
      <c r="B16" s="1" t="s">
        <v>28</v>
      </c>
      <c r="C16" s="1" t="s">
        <v>29</v>
      </c>
      <c r="D16" s="2">
        <v>0</v>
      </c>
      <c r="E16" s="3">
        <v>0</v>
      </c>
      <c r="F16" s="5">
        <f t="shared" si="0"/>
        <v>0</v>
      </c>
      <c r="G16" s="7"/>
      <c r="J16" s="22"/>
      <c r="K16" s="23"/>
      <c r="L16" s="24">
        <f t="shared" si="1"/>
        <v>0</v>
      </c>
    </row>
    <row r="17" spans="1:12" x14ac:dyDescent="0.25">
      <c r="A17" s="3">
        <v>49500</v>
      </c>
      <c r="B17" s="1" t="s">
        <v>30</v>
      </c>
      <c r="C17" s="1" t="s">
        <v>31</v>
      </c>
      <c r="D17" s="3">
        <v>119500</v>
      </c>
      <c r="E17" s="3">
        <v>0</v>
      </c>
      <c r="F17" s="5">
        <f t="shared" si="0"/>
        <v>119500</v>
      </c>
      <c r="G17" s="7"/>
      <c r="J17" s="22"/>
      <c r="K17" s="23"/>
      <c r="L17" s="24">
        <f t="shared" si="1"/>
        <v>119500</v>
      </c>
    </row>
    <row r="18" spans="1:12" x14ac:dyDescent="0.25">
      <c r="A18" s="3">
        <v>437709.27</v>
      </c>
      <c r="B18" s="1" t="s">
        <v>32</v>
      </c>
      <c r="C18" s="1" t="s">
        <v>33</v>
      </c>
      <c r="D18" s="3">
        <v>948615.99</v>
      </c>
      <c r="E18" s="3">
        <v>0</v>
      </c>
      <c r="F18" s="5">
        <f t="shared" si="0"/>
        <v>948615.99</v>
      </c>
      <c r="G18" s="7"/>
      <c r="J18" s="22"/>
      <c r="K18" s="23"/>
      <c r="L18" s="24">
        <f t="shared" si="1"/>
        <v>948615.99</v>
      </c>
    </row>
    <row r="19" spans="1:12" x14ac:dyDescent="0.25">
      <c r="A19" s="3">
        <v>32499.56</v>
      </c>
      <c r="B19" s="1" t="s">
        <v>34</v>
      </c>
      <c r="C19" s="1" t="s">
        <v>35</v>
      </c>
      <c r="D19" s="3">
        <v>6374</v>
      </c>
      <c r="E19" s="3">
        <v>0</v>
      </c>
      <c r="F19" s="5">
        <f t="shared" si="0"/>
        <v>6374</v>
      </c>
      <c r="G19" s="7"/>
      <c r="J19" s="22"/>
      <c r="K19" s="23"/>
      <c r="L19" s="24">
        <f t="shared" si="1"/>
        <v>6374</v>
      </c>
    </row>
    <row r="20" spans="1:12" x14ac:dyDescent="0.25">
      <c r="A20" s="3">
        <v>44803.37</v>
      </c>
      <c r="B20" s="1" t="s">
        <v>36</v>
      </c>
      <c r="C20" s="1" t="s">
        <v>37</v>
      </c>
      <c r="D20" s="3">
        <v>62775</v>
      </c>
      <c r="E20" s="3">
        <v>0</v>
      </c>
      <c r="F20" s="5">
        <f t="shared" si="0"/>
        <v>62775</v>
      </c>
      <c r="G20" s="7"/>
      <c r="J20" s="22"/>
      <c r="K20" s="23"/>
      <c r="L20" s="24">
        <f t="shared" si="1"/>
        <v>62775</v>
      </c>
    </row>
    <row r="21" spans="1:12" x14ac:dyDescent="0.25">
      <c r="A21" s="3">
        <v>29302.13</v>
      </c>
      <c r="B21" s="1" t="s">
        <v>38</v>
      </c>
      <c r="C21" s="1" t="s">
        <v>39</v>
      </c>
      <c r="D21" s="3">
        <v>26147.67</v>
      </c>
      <c r="E21" s="3">
        <v>0</v>
      </c>
      <c r="F21" s="5">
        <f t="shared" si="0"/>
        <v>26147.67</v>
      </c>
      <c r="G21" s="7"/>
      <c r="J21" s="22"/>
      <c r="K21" s="23"/>
      <c r="L21" s="24">
        <f t="shared" si="1"/>
        <v>26147.67</v>
      </c>
    </row>
    <row r="22" spans="1:12" x14ac:dyDescent="0.25">
      <c r="A22" s="3">
        <v>25686.2</v>
      </c>
      <c r="B22" s="1" t="s">
        <v>40</v>
      </c>
      <c r="C22" s="1" t="s">
        <v>41</v>
      </c>
      <c r="D22" s="3">
        <v>18941.86</v>
      </c>
      <c r="E22" s="3">
        <v>0</v>
      </c>
      <c r="F22" s="5">
        <f t="shared" si="0"/>
        <v>18941.86</v>
      </c>
      <c r="G22" s="7"/>
      <c r="J22" s="22"/>
      <c r="K22" s="23"/>
      <c r="L22" s="24">
        <f t="shared" si="1"/>
        <v>18941.86</v>
      </c>
    </row>
    <row r="23" spans="1:12" x14ac:dyDescent="0.25">
      <c r="A23" s="3">
        <v>876.32</v>
      </c>
      <c r="B23" s="1" t="s">
        <v>42</v>
      </c>
      <c r="C23" s="1" t="s">
        <v>43</v>
      </c>
      <c r="D23" s="2">
        <v>0</v>
      </c>
      <c r="E23" s="3">
        <v>2100.37</v>
      </c>
      <c r="F23" s="5">
        <f t="shared" si="0"/>
        <v>-2100.37</v>
      </c>
      <c r="G23" s="7">
        <v>4562.87</v>
      </c>
      <c r="J23" s="22"/>
      <c r="K23" s="23"/>
      <c r="L23" s="24">
        <f t="shared" si="1"/>
        <v>2462.5</v>
      </c>
    </row>
    <row r="24" spans="1:12" x14ac:dyDescent="0.25">
      <c r="A24" s="2" t="s">
        <v>3</v>
      </c>
      <c r="B24" s="1" t="s">
        <v>44</v>
      </c>
      <c r="C24" s="1" t="s">
        <v>45</v>
      </c>
      <c r="D24" s="2">
        <v>0</v>
      </c>
      <c r="E24" s="3">
        <v>0</v>
      </c>
      <c r="F24" s="5">
        <f t="shared" si="0"/>
        <v>0</v>
      </c>
      <c r="G24" s="7"/>
      <c r="J24" s="22"/>
      <c r="K24" s="23"/>
      <c r="L24" s="24">
        <f t="shared" si="1"/>
        <v>0</v>
      </c>
    </row>
    <row r="25" spans="1:12" x14ac:dyDescent="0.25">
      <c r="A25" s="3">
        <v>257913.48</v>
      </c>
      <c r="B25" s="1" t="s">
        <v>46</v>
      </c>
      <c r="C25" s="1" t="s">
        <v>47</v>
      </c>
      <c r="D25" s="3">
        <v>32191.35</v>
      </c>
      <c r="E25" s="3">
        <v>0</v>
      </c>
      <c r="F25" s="5">
        <f t="shared" si="0"/>
        <v>32191.35</v>
      </c>
      <c r="G25" s="7"/>
      <c r="J25" s="22"/>
      <c r="K25" s="23"/>
      <c r="L25" s="24">
        <f t="shared" si="1"/>
        <v>32191.35</v>
      </c>
    </row>
    <row r="26" spans="1:12" x14ac:dyDescent="0.25">
      <c r="A26" s="3">
        <v>199572.22</v>
      </c>
      <c r="B26" s="1" t="s">
        <v>48</v>
      </c>
      <c r="C26" s="1" t="s">
        <v>49</v>
      </c>
      <c r="D26" s="3">
        <v>380584.26</v>
      </c>
      <c r="E26" s="3">
        <v>0</v>
      </c>
      <c r="F26" s="5">
        <f t="shared" si="0"/>
        <v>380584.26</v>
      </c>
      <c r="G26" s="7"/>
      <c r="J26" s="22"/>
      <c r="K26" s="23"/>
      <c r="L26" s="24">
        <f t="shared" si="1"/>
        <v>380584.26</v>
      </c>
    </row>
    <row r="27" spans="1:12" x14ac:dyDescent="0.25">
      <c r="A27" s="3">
        <v>38415.14</v>
      </c>
      <c r="B27" s="1" t="s">
        <v>50</v>
      </c>
      <c r="C27" s="1" t="s">
        <v>51</v>
      </c>
      <c r="D27" s="3">
        <v>49395.7</v>
      </c>
      <c r="E27" s="3">
        <v>0</v>
      </c>
      <c r="F27" s="5">
        <f t="shared" si="0"/>
        <v>49395.7</v>
      </c>
      <c r="G27" s="7"/>
      <c r="J27" s="22"/>
      <c r="K27" s="23"/>
      <c r="L27" s="24">
        <f t="shared" si="1"/>
        <v>49395.7</v>
      </c>
    </row>
    <row r="28" spans="1:12" x14ac:dyDescent="0.25">
      <c r="A28" s="3">
        <v>419384.74</v>
      </c>
      <c r="B28" s="1" t="s">
        <v>52</v>
      </c>
      <c r="C28" s="1" t="s">
        <v>53</v>
      </c>
      <c r="D28" s="3">
        <v>206522.23</v>
      </c>
      <c r="E28" s="3">
        <v>0</v>
      </c>
      <c r="F28" s="5">
        <f t="shared" si="0"/>
        <v>206522.23</v>
      </c>
      <c r="G28" s="7"/>
      <c r="J28" s="22"/>
      <c r="K28" s="23"/>
      <c r="L28" s="24">
        <f t="shared" si="1"/>
        <v>206522.23</v>
      </c>
    </row>
    <row r="29" spans="1:12" x14ac:dyDescent="0.25">
      <c r="A29" s="3">
        <v>33043.089999999997</v>
      </c>
      <c r="B29" s="1" t="s">
        <v>54</v>
      </c>
      <c r="C29" s="1" t="s">
        <v>55</v>
      </c>
      <c r="D29" s="3">
        <v>66647.02</v>
      </c>
      <c r="E29" s="3">
        <v>0</v>
      </c>
      <c r="F29" s="5">
        <f t="shared" si="0"/>
        <v>66647.02</v>
      </c>
      <c r="G29" s="7"/>
      <c r="J29" s="22"/>
      <c r="K29" s="23"/>
      <c r="L29" s="24">
        <f t="shared" si="1"/>
        <v>66647.02</v>
      </c>
    </row>
    <row r="30" spans="1:12" x14ac:dyDescent="0.25">
      <c r="A30" s="3">
        <v>117313.93</v>
      </c>
      <c r="B30" s="1" t="s">
        <v>56</v>
      </c>
      <c r="C30" s="1" t="s">
        <v>57</v>
      </c>
      <c r="D30" s="3">
        <v>176808.8</v>
      </c>
      <c r="E30" s="3">
        <v>0</v>
      </c>
      <c r="F30" s="5">
        <f t="shared" si="0"/>
        <v>176808.8</v>
      </c>
      <c r="G30" s="7"/>
      <c r="J30" s="22"/>
      <c r="K30" s="23"/>
      <c r="L30" s="24">
        <f t="shared" si="1"/>
        <v>176808.8</v>
      </c>
    </row>
    <row r="31" spans="1:12" x14ac:dyDescent="0.25">
      <c r="A31" s="3">
        <v>10659.5</v>
      </c>
      <c r="B31" s="1" t="s">
        <v>58</v>
      </c>
      <c r="C31" s="1" t="s">
        <v>59</v>
      </c>
      <c r="D31" s="3">
        <v>108647.16</v>
      </c>
      <c r="E31" s="3">
        <v>0</v>
      </c>
      <c r="F31" s="5">
        <f t="shared" si="0"/>
        <v>108647.16</v>
      </c>
      <c r="G31" s="7"/>
      <c r="J31" s="22"/>
      <c r="K31" s="23"/>
      <c r="L31" s="24">
        <f t="shared" si="1"/>
        <v>108647.16</v>
      </c>
    </row>
    <row r="32" spans="1:12" x14ac:dyDescent="0.25">
      <c r="A32" s="3">
        <v>4800</v>
      </c>
      <c r="B32" s="1" t="s">
        <v>60</v>
      </c>
      <c r="C32" s="1" t="s">
        <v>61</v>
      </c>
      <c r="D32" s="3">
        <v>33207.39</v>
      </c>
      <c r="E32" s="3">
        <v>0</v>
      </c>
      <c r="F32" s="5">
        <f t="shared" si="0"/>
        <v>33207.39</v>
      </c>
      <c r="G32" s="7"/>
      <c r="J32" s="22"/>
      <c r="K32" s="23"/>
      <c r="L32" s="24">
        <f t="shared" si="1"/>
        <v>33207.39</v>
      </c>
    </row>
    <row r="33" spans="1:12" x14ac:dyDescent="0.25">
      <c r="A33" s="3">
        <v>415804.48</v>
      </c>
      <c r="B33" s="1" t="s">
        <v>62</v>
      </c>
      <c r="C33" s="1" t="s">
        <v>63</v>
      </c>
      <c r="D33" s="3">
        <v>322576.37</v>
      </c>
      <c r="E33" s="3">
        <v>0</v>
      </c>
      <c r="F33" s="5">
        <f t="shared" si="0"/>
        <v>322576.37</v>
      </c>
      <c r="G33" s="7"/>
      <c r="J33" s="22"/>
      <c r="K33" s="23"/>
      <c r="L33" s="24">
        <f t="shared" si="1"/>
        <v>322576.37</v>
      </c>
    </row>
    <row r="34" spans="1:12" x14ac:dyDescent="0.25">
      <c r="A34" s="2" t="s">
        <v>3</v>
      </c>
      <c r="B34" s="1" t="s">
        <v>64</v>
      </c>
      <c r="C34" s="1" t="s">
        <v>65</v>
      </c>
      <c r="D34" s="2">
        <v>0</v>
      </c>
      <c r="E34" s="3">
        <v>0</v>
      </c>
      <c r="F34" s="5">
        <f t="shared" si="0"/>
        <v>0</v>
      </c>
      <c r="G34" s="7"/>
      <c r="J34" s="22"/>
      <c r="K34" s="23"/>
      <c r="L34" s="24">
        <f t="shared" si="1"/>
        <v>0</v>
      </c>
    </row>
    <row r="35" spans="1:12" x14ac:dyDescent="0.25">
      <c r="A35" s="3">
        <v>15369.75</v>
      </c>
      <c r="B35" s="1" t="s">
        <v>66</v>
      </c>
      <c r="C35" s="1" t="s">
        <v>67</v>
      </c>
      <c r="D35" s="3">
        <v>28423.19</v>
      </c>
      <c r="E35" s="3">
        <v>0</v>
      </c>
      <c r="F35" s="5">
        <f t="shared" si="0"/>
        <v>28423.19</v>
      </c>
      <c r="G35" s="7"/>
      <c r="J35" s="22"/>
      <c r="K35" s="23"/>
      <c r="L35" s="24">
        <f t="shared" si="1"/>
        <v>28423.19</v>
      </c>
    </row>
    <row r="36" spans="1:12" x14ac:dyDescent="0.25">
      <c r="A36" s="3">
        <v>535.65</v>
      </c>
      <c r="B36" s="1" t="s">
        <v>68</v>
      </c>
      <c r="C36" s="1" t="s">
        <v>69</v>
      </c>
      <c r="D36" s="2">
        <v>0</v>
      </c>
      <c r="E36" s="3">
        <v>0</v>
      </c>
      <c r="F36" s="5">
        <f t="shared" si="0"/>
        <v>0</v>
      </c>
      <c r="G36" s="7"/>
      <c r="J36" s="22"/>
      <c r="K36" s="23"/>
      <c r="L36" s="24">
        <f t="shared" si="1"/>
        <v>0</v>
      </c>
    </row>
    <row r="37" spans="1:12" x14ac:dyDescent="0.25">
      <c r="B37" s="1" t="s">
        <v>274</v>
      </c>
      <c r="C37" s="1" t="s">
        <v>273</v>
      </c>
      <c r="D37" s="2"/>
      <c r="F37" s="5"/>
      <c r="G37" s="7"/>
      <c r="J37" s="22"/>
      <c r="K37" s="23">
        <f>+AJEs!D25</f>
        <v>84231.37</v>
      </c>
      <c r="L37" s="24">
        <f t="shared" si="1"/>
        <v>84231.37</v>
      </c>
    </row>
    <row r="38" spans="1:12" x14ac:dyDescent="0.25">
      <c r="A38" s="3">
        <v>1617328.56</v>
      </c>
      <c r="B38" s="1" t="s">
        <v>70</v>
      </c>
      <c r="C38" s="1" t="s">
        <v>71</v>
      </c>
      <c r="D38" s="3">
        <v>1615549.27</v>
      </c>
      <c r="E38" s="3">
        <v>0</v>
      </c>
      <c r="F38" s="5">
        <f t="shared" si="0"/>
        <v>1615549.27</v>
      </c>
      <c r="G38" s="7"/>
      <c r="J38" s="22"/>
      <c r="K38" s="23">
        <f>+AJEs!D21</f>
        <v>784450.73</v>
      </c>
      <c r="L38" s="24">
        <f t="shared" si="1"/>
        <v>2400000</v>
      </c>
    </row>
    <row r="39" spans="1:12" x14ac:dyDescent="0.25">
      <c r="A39" s="3">
        <v>82220.429999999993</v>
      </c>
      <c r="B39" s="1" t="s">
        <v>72</v>
      </c>
      <c r="C39" s="1" t="s">
        <v>73</v>
      </c>
      <c r="D39" s="3">
        <v>73849.59</v>
      </c>
      <c r="E39" s="3">
        <v>0</v>
      </c>
      <c r="F39" s="5">
        <f t="shared" si="0"/>
        <v>73849.59</v>
      </c>
      <c r="G39" s="7"/>
      <c r="J39" s="22"/>
      <c r="K39" s="23"/>
      <c r="L39" s="24">
        <f t="shared" si="1"/>
        <v>73849.59</v>
      </c>
    </row>
    <row r="40" spans="1:12" x14ac:dyDescent="0.25">
      <c r="A40" s="3">
        <v>195091.32</v>
      </c>
      <c r="B40" s="1" t="s">
        <v>74</v>
      </c>
      <c r="C40" s="1" t="s">
        <v>75</v>
      </c>
      <c r="D40" s="3">
        <v>266074.45</v>
      </c>
      <c r="E40" s="3">
        <v>0</v>
      </c>
      <c r="F40" s="5">
        <f t="shared" si="0"/>
        <v>266074.45</v>
      </c>
      <c r="G40" s="7"/>
      <c r="J40" s="22"/>
      <c r="K40" s="23"/>
      <c r="L40" s="24">
        <f t="shared" si="1"/>
        <v>266074.45</v>
      </c>
    </row>
    <row r="41" spans="1:12" x14ac:dyDescent="0.25">
      <c r="A41" s="3">
        <v>52180.480000000003</v>
      </c>
      <c r="B41" s="1" t="s">
        <v>76</v>
      </c>
      <c r="C41" s="1" t="s">
        <v>77</v>
      </c>
      <c r="D41" s="3">
        <v>61710.6</v>
      </c>
      <c r="E41" s="3">
        <v>0</v>
      </c>
      <c r="F41" s="5">
        <f t="shared" si="0"/>
        <v>61710.6</v>
      </c>
      <c r="G41" s="7"/>
      <c r="J41" s="22"/>
      <c r="K41" s="23"/>
      <c r="L41" s="24">
        <f t="shared" si="1"/>
        <v>61710.6</v>
      </c>
    </row>
    <row r="42" spans="1:12" x14ac:dyDescent="0.25">
      <c r="A42" s="2" t="s">
        <v>3</v>
      </c>
      <c r="B42" s="1" t="s">
        <v>78</v>
      </c>
      <c r="C42" s="1" t="s">
        <v>79</v>
      </c>
      <c r="D42" s="2">
        <v>0</v>
      </c>
      <c r="E42" s="3">
        <v>0</v>
      </c>
      <c r="F42" s="5">
        <f t="shared" si="0"/>
        <v>0</v>
      </c>
      <c r="G42" s="7"/>
      <c r="J42" s="22"/>
      <c r="K42" s="23"/>
      <c r="L42" s="24">
        <f t="shared" si="1"/>
        <v>0</v>
      </c>
    </row>
    <row r="43" spans="1:12" x14ac:dyDescent="0.25">
      <c r="A43" s="3">
        <v>-57.33</v>
      </c>
      <c r="B43" s="1" t="s">
        <v>80</v>
      </c>
      <c r="C43" s="1" t="s">
        <v>81</v>
      </c>
      <c r="D43" s="3">
        <v>26790.17</v>
      </c>
      <c r="E43" s="3">
        <v>0</v>
      </c>
      <c r="F43" s="5">
        <f t="shared" si="0"/>
        <v>26790.17</v>
      </c>
      <c r="G43" s="7"/>
      <c r="J43" s="22"/>
      <c r="K43" s="23"/>
      <c r="L43" s="24">
        <f t="shared" si="1"/>
        <v>26790.17</v>
      </c>
    </row>
    <row r="44" spans="1:12" x14ac:dyDescent="0.25">
      <c r="A44" s="3">
        <v>126237.89</v>
      </c>
      <c r="B44" s="1" t="s">
        <v>82</v>
      </c>
      <c r="C44" s="1" t="s">
        <v>83</v>
      </c>
      <c r="D44" s="3">
        <v>87142.18</v>
      </c>
      <c r="E44" s="3">
        <v>0</v>
      </c>
      <c r="F44" s="5">
        <f t="shared" si="0"/>
        <v>87142.18</v>
      </c>
      <c r="G44" s="7"/>
      <c r="J44" s="22"/>
      <c r="K44" s="23"/>
      <c r="L44" s="24">
        <f t="shared" si="1"/>
        <v>87142.18</v>
      </c>
    </row>
    <row r="45" spans="1:12" x14ac:dyDescent="0.25">
      <c r="A45" s="3">
        <v>3207.66</v>
      </c>
      <c r="B45" s="1" t="s">
        <v>84</v>
      </c>
      <c r="C45" s="1" t="s">
        <v>85</v>
      </c>
      <c r="D45" s="3">
        <v>2723.33</v>
      </c>
      <c r="E45" s="3">
        <v>0</v>
      </c>
      <c r="F45" s="5">
        <f t="shared" si="0"/>
        <v>2723.33</v>
      </c>
      <c r="G45" s="7"/>
      <c r="J45" s="22"/>
      <c r="K45" s="23"/>
      <c r="L45" s="24">
        <f t="shared" si="1"/>
        <v>2723.33</v>
      </c>
    </row>
    <row r="46" spans="1:12" x14ac:dyDescent="0.25">
      <c r="A46" s="2" t="s">
        <v>3</v>
      </c>
      <c r="B46" s="1" t="s">
        <v>86</v>
      </c>
      <c r="C46" s="1" t="s">
        <v>87</v>
      </c>
      <c r="D46" s="2">
        <v>0</v>
      </c>
      <c r="E46" s="3">
        <v>0</v>
      </c>
      <c r="F46" s="5">
        <f t="shared" si="0"/>
        <v>0</v>
      </c>
      <c r="G46" s="7"/>
      <c r="J46" s="22"/>
      <c r="K46" s="23"/>
      <c r="L46" s="24">
        <f t="shared" si="1"/>
        <v>0</v>
      </c>
    </row>
    <row r="47" spans="1:12" x14ac:dyDescent="0.25">
      <c r="A47" s="3">
        <v>3781</v>
      </c>
      <c r="B47" s="1" t="s">
        <v>88</v>
      </c>
      <c r="C47" s="1" t="s">
        <v>89</v>
      </c>
      <c r="D47" s="2">
        <v>0</v>
      </c>
      <c r="E47" s="3">
        <v>0</v>
      </c>
      <c r="F47" s="5">
        <f t="shared" si="0"/>
        <v>0</v>
      </c>
      <c r="G47" s="7"/>
      <c r="J47" s="22"/>
      <c r="K47" s="23"/>
      <c r="L47" s="24">
        <f t="shared" si="1"/>
        <v>0</v>
      </c>
    </row>
    <row r="48" spans="1:12" x14ac:dyDescent="0.25">
      <c r="A48" s="3">
        <v>3433.5</v>
      </c>
      <c r="B48" s="1" t="s">
        <v>90</v>
      </c>
      <c r="C48" s="1" t="s">
        <v>91</v>
      </c>
      <c r="D48" s="3">
        <v>9630.75</v>
      </c>
      <c r="E48" s="3">
        <v>0</v>
      </c>
      <c r="F48" s="5">
        <f t="shared" si="0"/>
        <v>9630.75</v>
      </c>
      <c r="G48" s="7"/>
      <c r="J48" s="22"/>
      <c r="K48" s="23"/>
      <c r="L48" s="24">
        <f t="shared" si="1"/>
        <v>9630.75</v>
      </c>
    </row>
    <row r="49" spans="1:12" x14ac:dyDescent="0.25">
      <c r="A49" s="3">
        <v>2210.37</v>
      </c>
      <c r="B49" s="1" t="s">
        <v>92</v>
      </c>
      <c r="C49" s="1" t="s">
        <v>93</v>
      </c>
      <c r="D49" s="3">
        <v>1066.0999999999999</v>
      </c>
      <c r="E49" s="3">
        <v>0</v>
      </c>
      <c r="F49" s="5">
        <f t="shared" si="0"/>
        <v>1066.0999999999999</v>
      </c>
      <c r="G49" s="7"/>
      <c r="J49" s="22"/>
      <c r="K49" s="23"/>
      <c r="L49" s="24">
        <f t="shared" si="1"/>
        <v>1066.0999999999999</v>
      </c>
    </row>
    <row r="50" spans="1:12" x14ac:dyDescent="0.25">
      <c r="A50" s="3">
        <v>207028.99</v>
      </c>
      <c r="B50" s="1" t="s">
        <v>94</v>
      </c>
      <c r="C50" s="1" t="s">
        <v>95</v>
      </c>
      <c r="D50" s="3">
        <v>215493.56</v>
      </c>
      <c r="E50" s="3">
        <v>0</v>
      </c>
      <c r="F50" s="5">
        <f t="shared" si="0"/>
        <v>215493.56</v>
      </c>
      <c r="G50" s="7"/>
      <c r="J50" s="22"/>
      <c r="K50" s="23"/>
      <c r="L50" s="24">
        <f t="shared" si="1"/>
        <v>215493.56</v>
      </c>
    </row>
    <row r="51" spans="1:12" x14ac:dyDescent="0.25">
      <c r="A51" s="3">
        <v>8.7899999999999991</v>
      </c>
      <c r="B51" s="1" t="s">
        <v>96</v>
      </c>
      <c r="C51" s="1" t="s">
        <v>97</v>
      </c>
      <c r="D51" s="2">
        <v>0</v>
      </c>
      <c r="E51" s="3">
        <v>0</v>
      </c>
      <c r="F51" s="5">
        <f t="shared" si="0"/>
        <v>0</v>
      </c>
      <c r="G51" s="7"/>
      <c r="J51" s="22"/>
      <c r="K51" s="23"/>
      <c r="L51" s="24">
        <f t="shared" si="1"/>
        <v>0</v>
      </c>
    </row>
    <row r="52" spans="1:12" x14ac:dyDescent="0.25">
      <c r="A52" s="3">
        <v>191073.13</v>
      </c>
      <c r="B52" s="1" t="s">
        <v>98</v>
      </c>
      <c r="C52" s="1" t="s">
        <v>99</v>
      </c>
      <c r="D52" s="3">
        <v>80517.039999999994</v>
      </c>
      <c r="E52" s="3">
        <v>0</v>
      </c>
      <c r="F52" s="5">
        <f t="shared" si="0"/>
        <v>80517.039999999994</v>
      </c>
      <c r="G52" s="7"/>
      <c r="J52" s="22"/>
      <c r="K52" s="23"/>
      <c r="L52" s="24">
        <f t="shared" si="1"/>
        <v>80517.039999999994</v>
      </c>
    </row>
    <row r="53" spans="1:12" x14ac:dyDescent="0.25">
      <c r="A53" s="3">
        <v>34956.629999999997</v>
      </c>
      <c r="B53" s="1" t="s">
        <v>100</v>
      </c>
      <c r="C53" s="1" t="s">
        <v>101</v>
      </c>
      <c r="D53" s="3">
        <v>41611.07</v>
      </c>
      <c r="E53" s="3">
        <v>0</v>
      </c>
      <c r="F53" s="5">
        <f t="shared" si="0"/>
        <v>41611.07</v>
      </c>
      <c r="G53" s="7"/>
      <c r="J53" s="22"/>
      <c r="K53" s="23"/>
      <c r="L53" s="24">
        <f t="shared" si="1"/>
        <v>41611.07</v>
      </c>
    </row>
    <row r="54" spans="1:12" x14ac:dyDescent="0.25">
      <c r="A54" s="2" t="s">
        <v>3</v>
      </c>
      <c r="B54" s="1" t="s">
        <v>102</v>
      </c>
      <c r="C54" s="1" t="s">
        <v>103</v>
      </c>
      <c r="D54" s="2">
        <v>0</v>
      </c>
      <c r="E54" s="3">
        <v>0</v>
      </c>
      <c r="F54" s="5">
        <f t="shared" si="0"/>
        <v>0</v>
      </c>
      <c r="G54" s="7"/>
      <c r="J54" s="22"/>
      <c r="K54" s="23"/>
      <c r="L54" s="24">
        <f t="shared" si="1"/>
        <v>0</v>
      </c>
    </row>
    <row r="55" spans="1:12" x14ac:dyDescent="0.25">
      <c r="A55" s="3">
        <v>52891.28</v>
      </c>
      <c r="B55" s="1" t="s">
        <v>104</v>
      </c>
      <c r="C55" s="1" t="s">
        <v>105</v>
      </c>
      <c r="D55" s="3">
        <v>46155.57</v>
      </c>
      <c r="E55" s="3">
        <v>0</v>
      </c>
      <c r="F55" s="5">
        <f t="shared" si="0"/>
        <v>46155.57</v>
      </c>
      <c r="G55" s="7"/>
      <c r="J55" s="22"/>
      <c r="K55" s="23"/>
      <c r="L55" s="24">
        <f t="shared" si="1"/>
        <v>46155.57</v>
      </c>
    </row>
    <row r="56" spans="1:12" x14ac:dyDescent="0.25">
      <c r="A56" s="3">
        <v>70225.3</v>
      </c>
      <c r="B56" s="1" t="s">
        <v>106</v>
      </c>
      <c r="C56" s="1" t="s">
        <v>107</v>
      </c>
      <c r="D56" s="3">
        <v>124321.98</v>
      </c>
      <c r="E56" s="3">
        <v>0</v>
      </c>
      <c r="F56" s="5">
        <f t="shared" si="0"/>
        <v>124321.98</v>
      </c>
      <c r="G56" s="7"/>
      <c r="J56" s="22"/>
      <c r="K56" s="23"/>
      <c r="L56" s="24">
        <f t="shared" si="1"/>
        <v>124321.98</v>
      </c>
    </row>
    <row r="57" spans="1:12" x14ac:dyDescent="0.25">
      <c r="A57" s="3">
        <v>13622.4</v>
      </c>
      <c r="B57" s="1" t="s">
        <v>108</v>
      </c>
      <c r="C57" s="1" t="s">
        <v>109</v>
      </c>
      <c r="D57" s="3">
        <v>7411</v>
      </c>
      <c r="E57" s="3">
        <v>0</v>
      </c>
      <c r="F57" s="5">
        <f t="shared" si="0"/>
        <v>7411</v>
      </c>
      <c r="G57" s="7"/>
      <c r="J57" s="22"/>
      <c r="K57" s="23"/>
      <c r="L57" s="24">
        <f t="shared" si="1"/>
        <v>7411</v>
      </c>
    </row>
    <row r="58" spans="1:12" x14ac:dyDescent="0.25">
      <c r="A58" s="3">
        <v>8166.82</v>
      </c>
      <c r="B58" s="1" t="s">
        <v>110</v>
      </c>
      <c r="C58" s="1" t="s">
        <v>111</v>
      </c>
      <c r="D58" s="3">
        <v>18975.03</v>
      </c>
      <c r="E58" s="3">
        <v>0</v>
      </c>
      <c r="F58" s="5">
        <f t="shared" si="0"/>
        <v>18975.03</v>
      </c>
      <c r="G58" s="7"/>
      <c r="J58" s="22"/>
      <c r="K58" s="23"/>
      <c r="L58" s="24">
        <f t="shared" si="1"/>
        <v>18975.03</v>
      </c>
    </row>
    <row r="59" spans="1:12" x14ac:dyDescent="0.25">
      <c r="A59" s="3">
        <v>2900</v>
      </c>
      <c r="B59" s="1" t="s">
        <v>112</v>
      </c>
      <c r="C59" s="1" t="s">
        <v>113</v>
      </c>
      <c r="D59" s="2">
        <v>0</v>
      </c>
      <c r="E59" s="3">
        <v>0</v>
      </c>
      <c r="F59" s="5">
        <f t="shared" si="0"/>
        <v>0</v>
      </c>
      <c r="G59" s="7"/>
      <c r="J59" s="22"/>
      <c r="K59" s="23"/>
      <c r="L59" s="24">
        <f t="shared" si="1"/>
        <v>0</v>
      </c>
    </row>
    <row r="60" spans="1:12" x14ac:dyDescent="0.25">
      <c r="A60" s="3">
        <v>48920.87</v>
      </c>
      <c r="B60" s="1" t="s">
        <v>114</v>
      </c>
      <c r="C60" s="1" t="s">
        <v>115</v>
      </c>
      <c r="D60" s="3">
        <v>25430</v>
      </c>
      <c r="E60" s="3">
        <v>0</v>
      </c>
      <c r="F60" s="5">
        <f t="shared" si="0"/>
        <v>25430</v>
      </c>
      <c r="G60" s="7"/>
      <c r="J60" s="22"/>
      <c r="K60" s="23"/>
      <c r="L60" s="24">
        <f t="shared" si="1"/>
        <v>25430</v>
      </c>
    </row>
    <row r="61" spans="1:12" x14ac:dyDescent="0.25">
      <c r="A61" s="3">
        <v>2880000</v>
      </c>
      <c r="B61" s="1" t="s">
        <v>116</v>
      </c>
      <c r="C61" s="1" t="s">
        <v>117</v>
      </c>
      <c r="D61" s="3">
        <v>2880000</v>
      </c>
      <c r="E61" s="3">
        <v>0</v>
      </c>
      <c r="F61" s="5">
        <f t="shared" si="0"/>
        <v>2880000</v>
      </c>
      <c r="G61" s="7"/>
      <c r="J61" s="22"/>
      <c r="K61" s="23"/>
      <c r="L61" s="24">
        <f t="shared" si="1"/>
        <v>2880000</v>
      </c>
    </row>
    <row r="62" spans="1:12" x14ac:dyDescent="0.25">
      <c r="A62" s="3">
        <v>444912.37</v>
      </c>
      <c r="B62" s="1" t="s">
        <v>118</v>
      </c>
      <c r="C62" s="1" t="s">
        <v>119</v>
      </c>
      <c r="D62" s="3">
        <v>90937.22</v>
      </c>
      <c r="E62" s="3">
        <v>0</v>
      </c>
      <c r="F62" s="5">
        <f t="shared" si="0"/>
        <v>90937.22</v>
      </c>
      <c r="G62" s="7"/>
      <c r="J62" s="22"/>
      <c r="K62" s="23">
        <f>+AJEs!D37</f>
        <v>40516.550000000003</v>
      </c>
      <c r="L62" s="24">
        <f t="shared" si="1"/>
        <v>131453.77000000002</v>
      </c>
    </row>
    <row r="63" spans="1:12" x14ac:dyDescent="0.25">
      <c r="A63" s="3">
        <v>2660838.75</v>
      </c>
      <c r="B63" s="1" t="s">
        <v>120</v>
      </c>
      <c r="C63" s="1" t="s">
        <v>121</v>
      </c>
      <c r="D63" s="3">
        <v>2874509.02</v>
      </c>
      <c r="E63" s="3">
        <v>0</v>
      </c>
      <c r="F63" s="5">
        <f t="shared" si="0"/>
        <v>2874509.02</v>
      </c>
      <c r="G63" s="7"/>
      <c r="J63" s="22"/>
      <c r="K63" s="23"/>
      <c r="L63" s="24">
        <f t="shared" si="1"/>
        <v>2874509.02</v>
      </c>
    </row>
    <row r="64" spans="1:12" x14ac:dyDescent="0.25">
      <c r="A64" s="3">
        <v>35279.040000000001</v>
      </c>
      <c r="B64" s="1" t="s">
        <v>122</v>
      </c>
      <c r="C64" s="1" t="s">
        <v>123</v>
      </c>
      <c r="D64" s="3">
        <v>38545.5</v>
      </c>
      <c r="E64" s="3">
        <v>0</v>
      </c>
      <c r="F64" s="5">
        <f t="shared" si="0"/>
        <v>38545.5</v>
      </c>
      <c r="G64" s="7"/>
      <c r="J64" s="22"/>
      <c r="K64" s="23"/>
      <c r="L64" s="24">
        <f t="shared" si="1"/>
        <v>38545.5</v>
      </c>
    </row>
    <row r="65" spans="1:17" x14ac:dyDescent="0.25">
      <c r="A65" s="3">
        <v>55683.62</v>
      </c>
      <c r="B65" s="1" t="s">
        <v>124</v>
      </c>
      <c r="C65" s="1" t="s">
        <v>125</v>
      </c>
      <c r="D65" s="3">
        <v>56617.63</v>
      </c>
      <c r="E65" s="3">
        <v>0</v>
      </c>
      <c r="F65" s="5">
        <f t="shared" si="0"/>
        <v>56617.63</v>
      </c>
      <c r="G65" s="7"/>
      <c r="J65" s="22"/>
      <c r="K65" s="23"/>
      <c r="L65" s="24">
        <f t="shared" si="1"/>
        <v>56617.63</v>
      </c>
    </row>
    <row r="66" spans="1:17" x14ac:dyDescent="0.25">
      <c r="A66" s="3">
        <v>1411151.14</v>
      </c>
      <c r="B66" s="1" t="s">
        <v>126</v>
      </c>
      <c r="C66" s="1" t="s">
        <v>127</v>
      </c>
      <c r="D66" s="3">
        <v>1452843.18</v>
      </c>
      <c r="E66" s="3">
        <v>0</v>
      </c>
      <c r="F66" s="5">
        <f t="shared" si="0"/>
        <v>1452843.18</v>
      </c>
      <c r="G66" s="7"/>
      <c r="J66" s="22"/>
      <c r="K66" s="23">
        <f>+AJEs!D22</f>
        <v>-784450.73</v>
      </c>
      <c r="L66" s="24">
        <f t="shared" si="1"/>
        <v>668392.44999999995</v>
      </c>
    </row>
    <row r="67" spans="1:17" x14ac:dyDescent="0.25">
      <c r="A67" s="3">
        <v>17107.740000000002</v>
      </c>
      <c r="B67" s="1" t="s">
        <v>128</v>
      </c>
      <c r="C67" s="1" t="s">
        <v>129</v>
      </c>
      <c r="D67" s="3">
        <v>17556.810000000001</v>
      </c>
      <c r="E67" s="3">
        <v>0</v>
      </c>
      <c r="F67" s="5">
        <f t="shared" si="0"/>
        <v>17556.810000000001</v>
      </c>
      <c r="G67" s="7"/>
      <c r="J67" s="22"/>
      <c r="K67" s="23"/>
      <c r="L67" s="24">
        <f t="shared" si="1"/>
        <v>17556.810000000001</v>
      </c>
    </row>
    <row r="68" spans="1:17" x14ac:dyDescent="0.25">
      <c r="A68" s="3">
        <v>391892.6</v>
      </c>
      <c r="B68" s="1" t="s">
        <v>130</v>
      </c>
      <c r="C68" s="1" t="s">
        <v>131</v>
      </c>
      <c r="D68" s="3">
        <v>942677.49</v>
      </c>
      <c r="E68" s="3">
        <v>0</v>
      </c>
      <c r="F68" s="5">
        <f t="shared" si="0"/>
        <v>942677.49</v>
      </c>
      <c r="G68" s="7"/>
      <c r="J68" s="22"/>
      <c r="K68" s="23"/>
      <c r="L68" s="24">
        <f t="shared" si="1"/>
        <v>942677.49</v>
      </c>
    </row>
    <row r="69" spans="1:17" x14ac:dyDescent="0.25">
      <c r="A69" s="3">
        <v>42903.74</v>
      </c>
      <c r="B69" s="1" t="s">
        <v>132</v>
      </c>
      <c r="C69" s="1" t="s">
        <v>133</v>
      </c>
      <c r="D69" s="3">
        <v>57437.7</v>
      </c>
      <c r="E69" s="3">
        <v>0</v>
      </c>
      <c r="F69" s="5">
        <f t="shared" si="0"/>
        <v>57437.7</v>
      </c>
      <c r="G69" s="7"/>
      <c r="J69" s="22"/>
      <c r="K69" s="23"/>
      <c r="L69" s="24">
        <f t="shared" si="1"/>
        <v>57437.7</v>
      </c>
    </row>
    <row r="70" spans="1:17" x14ac:dyDescent="0.25">
      <c r="A70" s="3">
        <v>67564.56</v>
      </c>
      <c r="B70" s="1" t="s">
        <v>134</v>
      </c>
      <c r="C70" s="1" t="s">
        <v>135</v>
      </c>
      <c r="D70" s="3">
        <v>47067.16</v>
      </c>
      <c r="E70" s="3">
        <v>0</v>
      </c>
      <c r="F70" s="5">
        <f t="shared" si="0"/>
        <v>47067.16</v>
      </c>
      <c r="G70" s="7"/>
      <c r="J70" s="22"/>
      <c r="K70" s="23"/>
      <c r="L70" s="24">
        <f t="shared" si="1"/>
        <v>47067.16</v>
      </c>
    </row>
    <row r="71" spans="1:17" x14ac:dyDescent="0.25">
      <c r="A71" s="3">
        <v>25117.38</v>
      </c>
      <c r="B71" s="1" t="s">
        <v>136</v>
      </c>
      <c r="C71" s="1" t="s">
        <v>137</v>
      </c>
      <c r="D71" s="3">
        <v>28591.31</v>
      </c>
      <c r="E71" s="3">
        <v>0</v>
      </c>
      <c r="F71" s="5">
        <f t="shared" ref="F71:F131" si="2">+D71-E71</f>
        <v>28591.31</v>
      </c>
      <c r="G71" s="7"/>
      <c r="J71" s="22"/>
      <c r="K71" s="23"/>
      <c r="L71" s="24">
        <f t="shared" ref="L71:L132" si="3">+F71+G71+J71+K71</f>
        <v>28591.31</v>
      </c>
    </row>
    <row r="72" spans="1:17" x14ac:dyDescent="0.25">
      <c r="A72" s="2" t="s">
        <v>3</v>
      </c>
      <c r="B72" s="1" t="s">
        <v>138</v>
      </c>
      <c r="C72" s="1" t="s">
        <v>139</v>
      </c>
      <c r="D72" s="2">
        <v>0</v>
      </c>
      <c r="E72" s="3">
        <v>0</v>
      </c>
      <c r="F72" s="5">
        <f t="shared" si="2"/>
        <v>0</v>
      </c>
      <c r="G72" s="7"/>
      <c r="J72" s="22"/>
      <c r="K72" s="23"/>
      <c r="L72" s="24">
        <f t="shared" si="3"/>
        <v>0</v>
      </c>
    </row>
    <row r="73" spans="1:17" x14ac:dyDescent="0.25">
      <c r="A73" s="3">
        <v>30349.599999999999</v>
      </c>
      <c r="B73" s="1" t="s">
        <v>140</v>
      </c>
      <c r="C73" s="1" t="s">
        <v>141</v>
      </c>
      <c r="D73" s="3">
        <v>21002.26</v>
      </c>
      <c r="E73" s="3">
        <v>0</v>
      </c>
      <c r="F73" s="5">
        <f t="shared" si="2"/>
        <v>21002.26</v>
      </c>
      <c r="G73" s="7"/>
      <c r="J73" s="22"/>
      <c r="K73" s="23"/>
      <c r="L73" s="24">
        <f t="shared" si="3"/>
        <v>21002.26</v>
      </c>
    </row>
    <row r="74" spans="1:17" x14ac:dyDescent="0.25">
      <c r="A74" s="3">
        <v>185504.52</v>
      </c>
      <c r="B74" s="1" t="s">
        <v>142</v>
      </c>
      <c r="C74" s="1" t="s">
        <v>143</v>
      </c>
      <c r="D74" s="3">
        <v>132442.31</v>
      </c>
      <c r="E74" s="3">
        <v>0</v>
      </c>
      <c r="F74" s="5">
        <f t="shared" si="2"/>
        <v>132442.31</v>
      </c>
      <c r="G74" s="7"/>
      <c r="J74" s="22"/>
      <c r="K74" s="23"/>
      <c r="L74" s="24">
        <f t="shared" si="3"/>
        <v>132442.31</v>
      </c>
    </row>
    <row r="75" spans="1:17" x14ac:dyDescent="0.25">
      <c r="A75" s="3">
        <v>15633.84</v>
      </c>
      <c r="B75" s="1" t="s">
        <v>144</v>
      </c>
      <c r="C75" s="1" t="s">
        <v>145</v>
      </c>
      <c r="D75" s="3">
        <v>17745.21</v>
      </c>
      <c r="E75" s="3">
        <v>0</v>
      </c>
      <c r="F75" s="5">
        <f t="shared" si="2"/>
        <v>17745.21</v>
      </c>
      <c r="G75" s="7"/>
      <c r="J75" s="22"/>
      <c r="K75" s="23"/>
      <c r="L75" s="24">
        <f t="shared" si="3"/>
        <v>17745.21</v>
      </c>
      <c r="M75" s="3">
        <f>SUM(L4:L75)</f>
        <v>-1466440.207073316</v>
      </c>
      <c r="O75" s="3" t="s">
        <v>292</v>
      </c>
      <c r="P75" s="3">
        <f>290079+330295</f>
        <v>620374</v>
      </c>
      <c r="Q75" s="3">
        <f>+P75/0.28</f>
        <v>2215621.4285714282</v>
      </c>
    </row>
    <row r="76" spans="1:17" x14ac:dyDescent="0.25">
      <c r="B76" s="1" t="s">
        <v>280</v>
      </c>
      <c r="C76" s="1" t="s">
        <v>304</v>
      </c>
      <c r="F76" s="5"/>
      <c r="G76" s="7"/>
      <c r="J76" s="22"/>
      <c r="K76" s="23">
        <f>+AJEs!D61</f>
        <v>410603</v>
      </c>
      <c r="L76" s="24">
        <f t="shared" si="3"/>
        <v>410603</v>
      </c>
      <c r="Q76" s="3"/>
    </row>
    <row r="77" spans="1:17" x14ac:dyDescent="0.25">
      <c r="A77" s="3">
        <v>-3994058.4698000001</v>
      </c>
      <c r="B77" s="1" t="s">
        <v>3</v>
      </c>
      <c r="C77" s="1" t="s">
        <v>146</v>
      </c>
      <c r="D77" s="3">
        <v>342522.256899998</v>
      </c>
      <c r="E77" s="3">
        <v>0</v>
      </c>
      <c r="F77" s="5">
        <f t="shared" si="2"/>
        <v>342522.256899998</v>
      </c>
      <c r="G77" s="7"/>
      <c r="J77" s="22"/>
      <c r="K77" s="23"/>
      <c r="L77" s="24">
        <f t="shared" si="3"/>
        <v>342522.256899998</v>
      </c>
      <c r="M77" s="3">
        <f>-[1]IS.!$C$55</f>
        <v>0</v>
      </c>
      <c r="Q77" s="4">
        <f>+Q75+M75</f>
        <v>749181.22149811219</v>
      </c>
    </row>
    <row r="78" spans="1:17" x14ac:dyDescent="0.25">
      <c r="A78" s="3">
        <v>0</v>
      </c>
      <c r="B78" s="1" t="s">
        <v>3</v>
      </c>
      <c r="C78" s="1" t="s">
        <v>3</v>
      </c>
      <c r="D78" s="3">
        <v>23199836.629999999</v>
      </c>
      <c r="E78" s="3">
        <v>23199836.629999999</v>
      </c>
      <c r="F78" s="5">
        <f t="shared" si="2"/>
        <v>0</v>
      </c>
      <c r="G78" s="7"/>
      <c r="J78" s="22"/>
      <c r="K78" s="23"/>
      <c r="L78" s="24">
        <f t="shared" si="3"/>
        <v>0</v>
      </c>
      <c r="M78" s="3">
        <f>+M75-M77</f>
        <v>-1466440.207073316</v>
      </c>
    </row>
    <row r="79" spans="1:17" x14ac:dyDescent="0.25">
      <c r="A79" s="3">
        <v>-3994058.4698000001</v>
      </c>
      <c r="B79" s="1" t="s">
        <v>3</v>
      </c>
      <c r="C79" s="1" t="s">
        <v>146</v>
      </c>
      <c r="D79" s="2">
        <v>0</v>
      </c>
      <c r="E79" s="3">
        <v>342522.256899998</v>
      </c>
      <c r="F79" s="5">
        <f t="shared" si="2"/>
        <v>-342522.256899998</v>
      </c>
      <c r="G79" s="7"/>
      <c r="J79" s="22"/>
      <c r="K79" s="23"/>
      <c r="L79" s="24">
        <f t="shared" si="3"/>
        <v>-342522.256899998</v>
      </c>
    </row>
    <row r="80" spans="1:17" x14ac:dyDescent="0.25">
      <c r="A80" s="11">
        <v>-100</v>
      </c>
      <c r="B80" s="1" t="s">
        <v>147</v>
      </c>
      <c r="C80" s="1" t="s">
        <v>148</v>
      </c>
      <c r="D80" s="2">
        <v>0</v>
      </c>
      <c r="E80" s="3">
        <v>100</v>
      </c>
      <c r="F80" s="5">
        <f t="shared" si="2"/>
        <v>-100</v>
      </c>
      <c r="G80" s="7"/>
      <c r="H80" s="3">
        <f>+A80</f>
        <v>-100</v>
      </c>
      <c r="J80" s="22"/>
      <c r="K80" s="23"/>
      <c r="L80" s="24">
        <f t="shared" si="3"/>
        <v>-100</v>
      </c>
    </row>
    <row r="81" spans="1:14" x14ac:dyDescent="0.25">
      <c r="A81" s="3">
        <v>-40231144.066</v>
      </c>
      <c r="B81" s="1" t="s">
        <v>149</v>
      </c>
      <c r="C81" s="1" t="s">
        <v>150</v>
      </c>
      <c r="D81" s="2">
        <v>0</v>
      </c>
      <c r="E81" s="3">
        <v>44225202.535999998</v>
      </c>
      <c r="F81" s="5">
        <f t="shared" si="2"/>
        <v>-44225202.535999998</v>
      </c>
      <c r="G81" s="7"/>
      <c r="H81" s="3">
        <f>+A81+A77</f>
        <v>-44225202.535800003</v>
      </c>
      <c r="I81" s="3">
        <v>-43986911</v>
      </c>
      <c r="J81" s="22">
        <f>+I81-H81</f>
        <v>238291.53580000252</v>
      </c>
      <c r="K81" s="23"/>
      <c r="L81" s="24">
        <f t="shared" si="3"/>
        <v>-43986911.000199996</v>
      </c>
    </row>
    <row r="82" spans="1:14" x14ac:dyDescent="0.25">
      <c r="A82" s="11">
        <v>-934641.75</v>
      </c>
      <c r="B82" s="1" t="s">
        <v>151</v>
      </c>
      <c r="C82" s="1" t="s">
        <v>152</v>
      </c>
      <c r="D82" s="2">
        <v>0</v>
      </c>
      <c r="E82" s="3">
        <v>728130.58</v>
      </c>
      <c r="F82" s="5">
        <f t="shared" si="2"/>
        <v>-728130.58</v>
      </c>
      <c r="G82" s="7"/>
      <c r="H82" s="3">
        <f>+A82</f>
        <v>-934641.75</v>
      </c>
      <c r="J82" s="22"/>
      <c r="K82" s="23"/>
      <c r="L82" s="24">
        <f t="shared" si="3"/>
        <v>-728130.58</v>
      </c>
    </row>
    <row r="83" spans="1:14" x14ac:dyDescent="0.25">
      <c r="A83" s="3">
        <v>0</v>
      </c>
      <c r="B83" s="1" t="s">
        <v>153</v>
      </c>
      <c r="C83" s="1" t="s">
        <v>154</v>
      </c>
      <c r="D83" s="3">
        <v>75000</v>
      </c>
      <c r="E83" s="3">
        <v>0</v>
      </c>
      <c r="F83" s="5">
        <f t="shared" si="2"/>
        <v>75000</v>
      </c>
      <c r="G83" s="7"/>
      <c r="H83" s="3">
        <f>+A83</f>
        <v>0</v>
      </c>
      <c r="J83" s="22"/>
      <c r="K83" s="23">
        <f>+AJEs!D9</f>
        <v>-75000</v>
      </c>
      <c r="L83" s="24">
        <f t="shared" si="3"/>
        <v>0</v>
      </c>
    </row>
    <row r="84" spans="1:14" x14ac:dyDescent="0.25">
      <c r="A84" s="22">
        <v>5351.3</v>
      </c>
      <c r="B84" s="1" t="s">
        <v>155</v>
      </c>
      <c r="C84" s="1" t="s">
        <v>156</v>
      </c>
      <c r="D84" s="3">
        <v>10302.73</v>
      </c>
      <c r="E84" s="3">
        <v>0</v>
      </c>
      <c r="F84" s="5">
        <f t="shared" si="2"/>
        <v>10302.73</v>
      </c>
      <c r="G84" s="7"/>
      <c r="H84" s="22">
        <f>+A84</f>
        <v>5351.3</v>
      </c>
      <c r="I84" s="3">
        <v>0</v>
      </c>
      <c r="J84" s="22">
        <f>+I84-H84</f>
        <v>-5351.3</v>
      </c>
      <c r="K84" s="23"/>
      <c r="L84" s="24">
        <f t="shared" si="3"/>
        <v>4951.4299999999994</v>
      </c>
    </row>
    <row r="85" spans="1:14" x14ac:dyDescent="0.25">
      <c r="A85" s="18">
        <v>348907</v>
      </c>
      <c r="B85" s="1" t="s">
        <v>157</v>
      </c>
      <c r="C85" s="1" t="s">
        <v>158</v>
      </c>
      <c r="D85" s="2">
        <v>0</v>
      </c>
      <c r="E85" s="3">
        <v>0</v>
      </c>
      <c r="F85" s="5">
        <f t="shared" si="2"/>
        <v>0</v>
      </c>
      <c r="G85" s="7"/>
      <c r="J85" s="22"/>
      <c r="K85" s="23">
        <f>+AJEs!D50</f>
        <v>750000</v>
      </c>
      <c r="L85" s="24">
        <f t="shared" si="3"/>
        <v>750000</v>
      </c>
    </row>
    <row r="86" spans="1:14" x14ac:dyDescent="0.25">
      <c r="A86" s="18">
        <v>11267043.390000001</v>
      </c>
      <c r="B86" s="1" t="s">
        <v>159</v>
      </c>
      <c r="C86" s="1" t="s">
        <v>160</v>
      </c>
      <c r="D86" s="3">
        <v>11473568.43</v>
      </c>
      <c r="E86" s="3">
        <v>0</v>
      </c>
      <c r="F86" s="5">
        <f t="shared" si="2"/>
        <v>11473568.43</v>
      </c>
      <c r="G86" s="7"/>
      <c r="H86" s="18">
        <f>+A85+A86+A112+A113</f>
        <v>14711206.280000001</v>
      </c>
      <c r="I86" s="3">
        <v>15714694</v>
      </c>
      <c r="J86" s="22">
        <f>+I86-H86</f>
        <v>1003487.7199999988</v>
      </c>
      <c r="K86" s="23">
        <f>+AJEs!D13+AJEs!D57</f>
        <v>494334.09017331153</v>
      </c>
      <c r="L86" s="24">
        <f t="shared" si="3"/>
        <v>12971390.24017331</v>
      </c>
    </row>
    <row r="87" spans="1:14" x14ac:dyDescent="0.25">
      <c r="A87" s="14" t="s">
        <v>3</v>
      </c>
      <c r="B87" s="1" t="s">
        <v>161</v>
      </c>
      <c r="C87" s="1" t="s">
        <v>162</v>
      </c>
      <c r="D87" s="2">
        <v>0</v>
      </c>
      <c r="E87" s="3">
        <v>0</v>
      </c>
      <c r="F87" s="5">
        <f t="shared" si="2"/>
        <v>0</v>
      </c>
      <c r="G87" s="7"/>
      <c r="J87" s="22"/>
      <c r="K87" s="23"/>
      <c r="L87" s="24">
        <f t="shared" si="3"/>
        <v>0</v>
      </c>
    </row>
    <row r="88" spans="1:14" x14ac:dyDescent="0.25">
      <c r="A88" s="15">
        <v>149956</v>
      </c>
      <c r="B88" s="1" t="s">
        <v>163</v>
      </c>
      <c r="C88" s="1" t="s">
        <v>164</v>
      </c>
      <c r="D88" s="3">
        <v>149956</v>
      </c>
      <c r="E88" s="3">
        <v>0</v>
      </c>
      <c r="F88" s="5">
        <f t="shared" si="2"/>
        <v>149956</v>
      </c>
      <c r="G88" s="7"/>
      <c r="J88" s="22">
        <v>-65000</v>
      </c>
      <c r="K88" s="23">
        <v>65000</v>
      </c>
      <c r="L88" s="24">
        <f t="shared" si="3"/>
        <v>149956</v>
      </c>
      <c r="M88" s="3">
        <v>149956</v>
      </c>
      <c r="N88" s="3">
        <f>+L88-M88</f>
        <v>0</v>
      </c>
    </row>
    <row r="89" spans="1:14" x14ac:dyDescent="0.25">
      <c r="A89" s="15">
        <v>-11327.47</v>
      </c>
      <c r="B89" s="1" t="s">
        <v>165</v>
      </c>
      <c r="C89" s="1" t="s">
        <v>166</v>
      </c>
      <c r="D89" s="2">
        <v>0</v>
      </c>
      <c r="E89" s="3">
        <v>11327.47</v>
      </c>
      <c r="F89" s="5">
        <f t="shared" si="2"/>
        <v>-11327.47</v>
      </c>
      <c r="G89" s="7"/>
      <c r="J89" s="22">
        <v>-16991.2</v>
      </c>
      <c r="K89" s="23">
        <f>+AJEs!D28</f>
        <v>-29991.200000000001</v>
      </c>
      <c r="L89" s="24">
        <f t="shared" si="3"/>
        <v>-58309.869999999995</v>
      </c>
      <c r="M89" s="3">
        <v>-58309.87</v>
      </c>
      <c r="N89" s="3">
        <f>+L89-M89</f>
        <v>0</v>
      </c>
    </row>
    <row r="90" spans="1:14" x14ac:dyDescent="0.25">
      <c r="A90" s="14" t="s">
        <v>3</v>
      </c>
      <c r="B90" s="1" t="s">
        <v>167</v>
      </c>
      <c r="C90" s="1" t="s">
        <v>168</v>
      </c>
      <c r="D90" s="2">
        <v>0</v>
      </c>
      <c r="E90" s="3">
        <v>0</v>
      </c>
      <c r="F90" s="5">
        <f t="shared" si="2"/>
        <v>0</v>
      </c>
      <c r="G90" s="7"/>
      <c r="J90" s="22"/>
      <c r="K90" s="23"/>
      <c r="L90" s="24">
        <f t="shared" si="3"/>
        <v>0</v>
      </c>
      <c r="N90" s="3">
        <f t="shared" ref="N90:N101" si="4">+L90-M90</f>
        <v>0</v>
      </c>
    </row>
    <row r="91" spans="1:14" x14ac:dyDescent="0.25">
      <c r="A91" s="15">
        <v>1300001</v>
      </c>
      <c r="B91" s="1" t="s">
        <v>169</v>
      </c>
      <c r="C91" s="1" t="s">
        <v>170</v>
      </c>
      <c r="D91" s="3">
        <v>1300001</v>
      </c>
      <c r="E91" s="3">
        <v>0</v>
      </c>
      <c r="F91" s="5">
        <f t="shared" si="2"/>
        <v>1300001</v>
      </c>
      <c r="G91" s="7"/>
      <c r="J91" s="22"/>
      <c r="K91" s="23"/>
      <c r="L91" s="24">
        <f t="shared" si="3"/>
        <v>1300001</v>
      </c>
    </row>
    <row r="92" spans="1:14" x14ac:dyDescent="0.25">
      <c r="A92" s="15">
        <v>-1299997</v>
      </c>
      <c r="B92" s="1" t="s">
        <v>171</v>
      </c>
      <c r="C92" s="1" t="s">
        <v>172</v>
      </c>
      <c r="D92" s="2">
        <v>0</v>
      </c>
      <c r="E92" s="3">
        <v>1299997</v>
      </c>
      <c r="F92" s="5">
        <f t="shared" si="2"/>
        <v>-1299997</v>
      </c>
      <c r="G92" s="7"/>
      <c r="J92" s="22"/>
      <c r="K92" s="23"/>
      <c r="L92" s="24">
        <f t="shared" si="3"/>
        <v>-1299997</v>
      </c>
    </row>
    <row r="93" spans="1:14" x14ac:dyDescent="0.25">
      <c r="A93" s="14" t="s">
        <v>3</v>
      </c>
      <c r="B93" s="1" t="s">
        <v>173</v>
      </c>
      <c r="C93" s="1" t="s">
        <v>174</v>
      </c>
      <c r="D93" s="2">
        <v>0</v>
      </c>
      <c r="E93" s="3">
        <v>0</v>
      </c>
      <c r="F93" s="5">
        <f t="shared" si="2"/>
        <v>0</v>
      </c>
      <c r="G93" s="7"/>
      <c r="J93" s="22"/>
      <c r="K93" s="23"/>
      <c r="L93" s="24">
        <f t="shared" si="3"/>
        <v>0</v>
      </c>
      <c r="N93" s="3">
        <f t="shared" si="4"/>
        <v>0</v>
      </c>
    </row>
    <row r="94" spans="1:14" x14ac:dyDescent="0.25">
      <c r="A94" s="15">
        <v>489738.22</v>
      </c>
      <c r="B94" s="1" t="s">
        <v>175</v>
      </c>
      <c r="C94" s="1" t="s">
        <v>176</v>
      </c>
      <c r="D94" s="3">
        <v>489738.22</v>
      </c>
      <c r="E94" s="3">
        <v>0</v>
      </c>
      <c r="F94" s="5">
        <f t="shared" si="2"/>
        <v>489738.22</v>
      </c>
      <c r="G94" s="7"/>
      <c r="J94" s="22">
        <v>-3805.22</v>
      </c>
      <c r="K94" s="23"/>
      <c r="L94" s="24">
        <f t="shared" si="3"/>
        <v>485933</v>
      </c>
      <c r="M94" s="3">
        <v>526566.05000000005</v>
      </c>
      <c r="N94" s="3">
        <f t="shared" si="4"/>
        <v>-40633.050000000047</v>
      </c>
    </row>
    <row r="95" spans="1:14" x14ac:dyDescent="0.25">
      <c r="A95" s="15">
        <v>-473285.79</v>
      </c>
      <c r="B95" s="1" t="s">
        <v>177</v>
      </c>
      <c r="C95" s="1" t="s">
        <v>178</v>
      </c>
      <c r="D95" s="2">
        <v>0</v>
      </c>
      <c r="E95" s="3">
        <v>473285.79</v>
      </c>
      <c r="F95" s="5">
        <f t="shared" si="2"/>
        <v>-473285.79</v>
      </c>
      <c r="G95" s="7"/>
      <c r="J95" s="22">
        <v>-30377.4</v>
      </c>
      <c r="K95" s="23">
        <f>+AJEs!D26</f>
        <v>-7082.6</v>
      </c>
      <c r="L95" s="24">
        <f t="shared" si="3"/>
        <v>-510745.79</v>
      </c>
      <c r="M95" s="3">
        <v>-522913.79</v>
      </c>
      <c r="N95" s="3">
        <f t="shared" si="4"/>
        <v>12168</v>
      </c>
    </row>
    <row r="96" spans="1:14" x14ac:dyDescent="0.25">
      <c r="A96" s="14" t="s">
        <v>3</v>
      </c>
      <c r="B96" s="1" t="s">
        <v>179</v>
      </c>
      <c r="C96" s="1" t="s">
        <v>180</v>
      </c>
      <c r="D96" s="2">
        <v>0</v>
      </c>
      <c r="E96" s="3">
        <v>0</v>
      </c>
      <c r="F96" s="5">
        <f t="shared" si="2"/>
        <v>0</v>
      </c>
      <c r="G96" s="7"/>
      <c r="J96" s="22"/>
      <c r="K96" s="23"/>
      <c r="L96" s="24">
        <f t="shared" si="3"/>
        <v>0</v>
      </c>
      <c r="N96" s="3">
        <f t="shared" si="4"/>
        <v>0</v>
      </c>
    </row>
    <row r="97" spans="1:14" x14ac:dyDescent="0.25">
      <c r="A97" s="15">
        <v>40633.050000000003</v>
      </c>
      <c r="B97" s="1" t="s">
        <v>181</v>
      </c>
      <c r="C97" s="1" t="s">
        <v>182</v>
      </c>
      <c r="D97" s="3">
        <v>40633.050000000003</v>
      </c>
      <c r="E97" s="3">
        <v>0</v>
      </c>
      <c r="F97" s="5">
        <f t="shared" si="2"/>
        <v>40633.050000000003</v>
      </c>
      <c r="G97" s="7"/>
      <c r="J97" s="22"/>
      <c r="K97" s="23"/>
      <c r="L97" s="24">
        <f t="shared" si="3"/>
        <v>40633.050000000003</v>
      </c>
      <c r="N97" s="3">
        <f t="shared" si="4"/>
        <v>40633.050000000003</v>
      </c>
    </row>
    <row r="98" spans="1:14" x14ac:dyDescent="0.25">
      <c r="A98" s="15">
        <v>-12167</v>
      </c>
      <c r="B98" s="1" t="s">
        <v>183</v>
      </c>
      <c r="C98" s="1" t="s">
        <v>184</v>
      </c>
      <c r="D98" s="2">
        <v>0</v>
      </c>
      <c r="E98" s="3">
        <v>12167</v>
      </c>
      <c r="F98" s="5">
        <f t="shared" si="2"/>
        <v>-12167</v>
      </c>
      <c r="G98" s="7"/>
      <c r="J98" s="22"/>
      <c r="K98" s="23"/>
      <c r="L98" s="24">
        <f t="shared" si="3"/>
        <v>-12167</v>
      </c>
      <c r="N98" s="3">
        <f t="shared" si="4"/>
        <v>-12167</v>
      </c>
    </row>
    <row r="99" spans="1:14" x14ac:dyDescent="0.25">
      <c r="A99" s="14" t="s">
        <v>3</v>
      </c>
      <c r="B99" s="1" t="s">
        <v>185</v>
      </c>
      <c r="C99" s="1" t="s">
        <v>186</v>
      </c>
      <c r="D99" s="2">
        <v>0</v>
      </c>
      <c r="E99" s="3">
        <v>0</v>
      </c>
      <c r="F99" s="5">
        <f t="shared" si="2"/>
        <v>0</v>
      </c>
      <c r="G99" s="7"/>
      <c r="J99" s="22"/>
      <c r="K99" s="23"/>
      <c r="L99" s="24">
        <f t="shared" si="3"/>
        <v>0</v>
      </c>
      <c r="N99" s="3">
        <f t="shared" si="4"/>
        <v>0</v>
      </c>
    </row>
    <row r="100" spans="1:14" x14ac:dyDescent="0.25">
      <c r="A100" s="15">
        <v>244558.04</v>
      </c>
      <c r="B100" s="1" t="s">
        <v>187</v>
      </c>
      <c r="C100" s="1" t="s">
        <v>188</v>
      </c>
      <c r="D100" s="3">
        <v>285074.59000000003</v>
      </c>
      <c r="E100" s="3">
        <v>0</v>
      </c>
      <c r="F100" s="5">
        <f t="shared" si="2"/>
        <v>285074.59000000003</v>
      </c>
      <c r="G100" s="7"/>
      <c r="J100" s="22">
        <v>-8770.18</v>
      </c>
      <c r="K100" s="23">
        <f>+AJEs!D38</f>
        <v>-40516.550000000003</v>
      </c>
      <c r="L100" s="24">
        <f t="shared" si="3"/>
        <v>235787.86000000004</v>
      </c>
      <c r="M100" s="3">
        <v>235787.87</v>
      </c>
      <c r="N100" s="3">
        <f t="shared" si="4"/>
        <v>-9.9999999511055648E-3</v>
      </c>
    </row>
    <row r="101" spans="1:14" x14ac:dyDescent="0.25">
      <c r="A101" s="15">
        <v>-83035.55</v>
      </c>
      <c r="B101" s="1" t="s">
        <v>189</v>
      </c>
      <c r="C101" s="1" t="s">
        <v>190</v>
      </c>
      <c r="D101" s="2">
        <v>0</v>
      </c>
      <c r="E101" s="3">
        <v>83035.55</v>
      </c>
      <c r="F101" s="5">
        <f t="shared" si="2"/>
        <v>-83035.55</v>
      </c>
      <c r="G101" s="7"/>
      <c r="J101" s="22">
        <v>-47157.57</v>
      </c>
      <c r="K101" s="23">
        <f>+AJEs!D27</f>
        <v>-47157.57</v>
      </c>
      <c r="L101" s="24">
        <f t="shared" si="3"/>
        <v>-177350.69</v>
      </c>
      <c r="M101" s="3">
        <v>-177350.7</v>
      </c>
      <c r="N101" s="3">
        <f t="shared" si="4"/>
        <v>1.0000000009313226E-2</v>
      </c>
    </row>
    <row r="102" spans="1:14" x14ac:dyDescent="0.25">
      <c r="A102" s="14" t="s">
        <v>3</v>
      </c>
      <c r="B102" s="1" t="s">
        <v>191</v>
      </c>
      <c r="C102" s="1" t="s">
        <v>192</v>
      </c>
      <c r="D102" s="2">
        <v>0</v>
      </c>
      <c r="E102" s="3">
        <v>0</v>
      </c>
      <c r="F102" s="5">
        <f t="shared" si="2"/>
        <v>0</v>
      </c>
      <c r="G102" s="7"/>
      <c r="J102" s="22"/>
      <c r="K102" s="23"/>
      <c r="L102" s="24">
        <f t="shared" si="3"/>
        <v>0</v>
      </c>
      <c r="N102" s="3">
        <f ca="1">SUM(N88:N102)</f>
        <v>0</v>
      </c>
    </row>
    <row r="103" spans="1:14" x14ac:dyDescent="0.25">
      <c r="A103" s="15">
        <v>149943.06</v>
      </c>
      <c r="B103" s="1" t="s">
        <v>193</v>
      </c>
      <c r="C103" s="1" t="s">
        <v>194</v>
      </c>
      <c r="D103" s="3">
        <v>149943.06</v>
      </c>
      <c r="E103" s="3">
        <v>0</v>
      </c>
      <c r="F103" s="5">
        <f t="shared" si="2"/>
        <v>149943.06</v>
      </c>
      <c r="G103" s="7"/>
      <c r="H103" s="15">
        <f>SUM(A88:A103)</f>
        <v>495016.56000000006</v>
      </c>
      <c r="I103" s="3">
        <v>322915</v>
      </c>
      <c r="J103" s="22"/>
      <c r="K103" s="23"/>
      <c r="L103" s="24">
        <f t="shared" si="3"/>
        <v>149943.06</v>
      </c>
    </row>
    <row r="104" spans="1:14" x14ac:dyDescent="0.25">
      <c r="A104" s="13">
        <v>-8.9999999999999998E-4</v>
      </c>
      <c r="B104" s="1" t="s">
        <v>195</v>
      </c>
      <c r="C104" s="1" t="s">
        <v>196</v>
      </c>
      <c r="D104" s="2">
        <v>0</v>
      </c>
      <c r="E104" s="3">
        <v>8.9999999999999998E-4</v>
      </c>
      <c r="F104" s="5">
        <f t="shared" si="2"/>
        <v>-8.9999999999999998E-4</v>
      </c>
      <c r="G104" s="7"/>
      <c r="J104" s="22"/>
      <c r="K104" s="23"/>
      <c r="L104" s="24">
        <f t="shared" si="3"/>
        <v>-8.9999999999999998E-4</v>
      </c>
    </row>
    <row r="105" spans="1:14" x14ac:dyDescent="0.25">
      <c r="A105" s="13">
        <v>130880.45140000001</v>
      </c>
      <c r="B105" s="1" t="s">
        <v>197</v>
      </c>
      <c r="C105" s="1" t="s">
        <v>198</v>
      </c>
      <c r="D105" s="3">
        <v>153236.31229999999</v>
      </c>
      <c r="E105" s="3">
        <v>0</v>
      </c>
      <c r="F105" s="5">
        <f t="shared" si="2"/>
        <v>153236.31229999999</v>
      </c>
      <c r="G105" s="7"/>
      <c r="J105" s="22"/>
      <c r="K105" s="23"/>
      <c r="L105" s="24">
        <f t="shared" si="3"/>
        <v>153236.31229999999</v>
      </c>
    </row>
    <row r="106" spans="1:14" x14ac:dyDescent="0.25">
      <c r="A106" s="13">
        <v>-3.0000000000000001E-3</v>
      </c>
      <c r="B106" s="1" t="s">
        <v>199</v>
      </c>
      <c r="C106" s="1" t="s">
        <v>200</v>
      </c>
      <c r="D106" s="2">
        <v>0</v>
      </c>
      <c r="E106" s="3">
        <v>3.0000000000000001E-3</v>
      </c>
      <c r="F106" s="5">
        <f t="shared" si="2"/>
        <v>-3.0000000000000001E-3</v>
      </c>
      <c r="G106" s="7"/>
      <c r="J106" s="22"/>
      <c r="K106" s="23"/>
      <c r="L106" s="24">
        <f t="shared" si="3"/>
        <v>-3.0000000000000001E-3</v>
      </c>
    </row>
    <row r="107" spans="1:14" x14ac:dyDescent="0.25">
      <c r="A107" s="13">
        <v>8690684.3299000002</v>
      </c>
      <c r="B107" s="1" t="s">
        <v>201</v>
      </c>
      <c r="C107" s="1" t="s">
        <v>202</v>
      </c>
      <c r="D107" s="3">
        <v>12805083.104900001</v>
      </c>
      <c r="E107" s="3">
        <v>0</v>
      </c>
      <c r="F107" s="5">
        <f t="shared" si="2"/>
        <v>12805083.104900001</v>
      </c>
      <c r="G107" s="7"/>
      <c r="J107" s="22"/>
      <c r="K107" s="23"/>
      <c r="L107" s="24">
        <f t="shared" si="3"/>
        <v>12805083.104900001</v>
      </c>
    </row>
    <row r="108" spans="1:14" x14ac:dyDescent="0.25">
      <c r="A108" s="13">
        <v>100065.37669999999</v>
      </c>
      <c r="B108" s="1" t="s">
        <v>203</v>
      </c>
      <c r="C108" s="1" t="s">
        <v>204</v>
      </c>
      <c r="D108" s="3">
        <v>98179.477700000003</v>
      </c>
      <c r="E108" s="3">
        <v>0</v>
      </c>
      <c r="F108" s="5">
        <f t="shared" si="2"/>
        <v>98179.477700000003</v>
      </c>
      <c r="G108" s="7"/>
      <c r="H108" s="13">
        <f>+A104+A105+A106+A107+A114+A108</f>
        <v>8771068.0441000015</v>
      </c>
      <c r="I108" s="3">
        <v>8771068</v>
      </c>
      <c r="J108" s="22">
        <f>+I108-H108</f>
        <v>-4.4100001454353333E-2</v>
      </c>
      <c r="K108" s="23"/>
      <c r="L108" s="24">
        <f t="shared" si="3"/>
        <v>98179.433599998549</v>
      </c>
    </row>
    <row r="109" spans="1:14" x14ac:dyDescent="0.25">
      <c r="A109" s="19">
        <v>12413707.720000001</v>
      </c>
      <c r="B109" s="1" t="s">
        <v>205</v>
      </c>
      <c r="C109" s="1" t="s">
        <v>206</v>
      </c>
      <c r="D109" s="3">
        <v>9963412.0800000001</v>
      </c>
      <c r="E109" s="3">
        <v>0</v>
      </c>
      <c r="F109" s="5">
        <f t="shared" si="2"/>
        <v>9963412.0800000001</v>
      </c>
      <c r="G109" s="7"/>
      <c r="H109" s="19">
        <f>+A109</f>
        <v>12413707.720000001</v>
      </c>
      <c r="I109" s="3">
        <v>12413708</v>
      </c>
      <c r="J109" s="22">
        <f>+I109-H109</f>
        <v>0.27999999932944775</v>
      </c>
      <c r="K109" s="23"/>
      <c r="L109" s="24">
        <f t="shared" si="3"/>
        <v>9963412.3599999994</v>
      </c>
    </row>
    <row r="110" spans="1:14" x14ac:dyDescent="0.25">
      <c r="A110" s="2">
        <v>0</v>
      </c>
      <c r="B110" s="1" t="s">
        <v>207</v>
      </c>
      <c r="C110" s="1" t="s">
        <v>208</v>
      </c>
      <c r="D110" s="2">
        <v>0</v>
      </c>
      <c r="E110" s="3">
        <v>0</v>
      </c>
      <c r="F110" s="5">
        <f t="shared" si="2"/>
        <v>0</v>
      </c>
      <c r="G110" s="7"/>
      <c r="H110" s="3">
        <f>+A110</f>
        <v>0</v>
      </c>
      <c r="J110" s="22"/>
      <c r="K110" s="23"/>
      <c r="L110" s="24">
        <f t="shared" si="3"/>
        <v>0</v>
      </c>
    </row>
    <row r="111" spans="1:14" x14ac:dyDescent="0.25">
      <c r="A111" s="2"/>
      <c r="B111" s="1"/>
      <c r="C111" s="1" t="s">
        <v>252</v>
      </c>
      <c r="D111" s="2"/>
      <c r="F111" s="5"/>
      <c r="G111" s="7"/>
      <c r="H111" s="3">
        <v>0</v>
      </c>
      <c r="I111" s="3">
        <v>65000</v>
      </c>
      <c r="J111" s="22">
        <f>+I111-H111</f>
        <v>65000</v>
      </c>
      <c r="K111" s="23">
        <v>-65000</v>
      </c>
      <c r="L111" s="24">
        <f t="shared" si="3"/>
        <v>0</v>
      </c>
    </row>
    <row r="112" spans="1:14" x14ac:dyDescent="0.25">
      <c r="A112" s="18">
        <v>2191549.4</v>
      </c>
      <c r="B112" s="1" t="s">
        <v>209</v>
      </c>
      <c r="C112" s="1" t="s">
        <v>210</v>
      </c>
      <c r="D112" s="3">
        <v>2191549.4</v>
      </c>
      <c r="E112" s="3">
        <v>0</v>
      </c>
      <c r="F112" s="5">
        <f t="shared" si="2"/>
        <v>2191549.4</v>
      </c>
      <c r="G112" s="7"/>
      <c r="J112" s="22"/>
      <c r="K112" s="23"/>
      <c r="L112" s="24">
        <f t="shared" si="3"/>
        <v>2191549.4</v>
      </c>
    </row>
    <row r="113" spans="1:16" x14ac:dyDescent="0.25">
      <c r="A113" s="18">
        <v>903706.49</v>
      </c>
      <c r="B113" s="1" t="s">
        <v>211</v>
      </c>
      <c r="C113" s="1" t="s">
        <v>212</v>
      </c>
      <c r="D113" s="3">
        <v>903706.49</v>
      </c>
      <c r="E113" s="3">
        <v>0</v>
      </c>
      <c r="F113" s="5">
        <f t="shared" si="2"/>
        <v>903706.49</v>
      </c>
      <c r="G113" s="7"/>
      <c r="J113" s="22"/>
      <c r="K113" s="23"/>
      <c r="L113" s="24">
        <f t="shared" si="3"/>
        <v>903706.49</v>
      </c>
    </row>
    <row r="114" spans="1:16" x14ac:dyDescent="0.25">
      <c r="A114" s="13">
        <v>-150562.10999999999</v>
      </c>
      <c r="B114" s="1" t="s">
        <v>213</v>
      </c>
      <c r="C114" s="1" t="s">
        <v>214</v>
      </c>
      <c r="D114" s="2">
        <v>0</v>
      </c>
      <c r="E114" s="3">
        <v>150562.10999999999</v>
      </c>
      <c r="F114" s="5">
        <f t="shared" si="2"/>
        <v>-150562.10999999999</v>
      </c>
      <c r="G114" s="7"/>
      <c r="J114" s="22"/>
      <c r="K114" s="23"/>
      <c r="L114" s="24">
        <f t="shared" si="3"/>
        <v>-150562.10999999999</v>
      </c>
    </row>
    <row r="115" spans="1:16" x14ac:dyDescent="0.25">
      <c r="A115" s="12">
        <v>1008137.9</v>
      </c>
      <c r="B115" s="1" t="s">
        <v>215</v>
      </c>
      <c r="C115" s="1" t="s">
        <v>216</v>
      </c>
      <c r="D115" s="3">
        <v>1821807.41</v>
      </c>
      <c r="E115" s="3">
        <v>0</v>
      </c>
      <c r="F115" s="5">
        <f t="shared" si="2"/>
        <v>1821807.41</v>
      </c>
      <c r="G115" s="7"/>
      <c r="J115" s="22"/>
      <c r="K115" s="23"/>
      <c r="L115" s="24">
        <f t="shared" si="3"/>
        <v>1821807.41</v>
      </c>
    </row>
    <row r="116" spans="1:16" x14ac:dyDescent="0.25">
      <c r="A116" s="12">
        <v>14633.36</v>
      </c>
      <c r="B116" s="1" t="s">
        <v>217</v>
      </c>
      <c r="C116" s="1" t="s">
        <v>218</v>
      </c>
      <c r="D116" s="3">
        <v>17649.740000000002</v>
      </c>
      <c r="E116" s="3">
        <v>0</v>
      </c>
      <c r="F116" s="5">
        <f t="shared" si="2"/>
        <v>17649.740000000002</v>
      </c>
      <c r="G116" s="7"/>
      <c r="J116" s="22"/>
      <c r="K116" s="23"/>
      <c r="L116" s="24">
        <f t="shared" si="3"/>
        <v>17649.740000000002</v>
      </c>
    </row>
    <row r="117" spans="1:16" x14ac:dyDescent="0.25">
      <c r="A117" s="12">
        <v>6011475.04</v>
      </c>
      <c r="B117" s="1" t="s">
        <v>219</v>
      </c>
      <c r="C117" s="1" t="s">
        <v>220</v>
      </c>
      <c r="D117" s="3">
        <v>5813483.7300000004</v>
      </c>
      <c r="E117" s="3">
        <v>0</v>
      </c>
      <c r="F117" s="5">
        <f t="shared" si="2"/>
        <v>5813483.7300000004</v>
      </c>
      <c r="G117" s="7"/>
      <c r="J117" s="22"/>
      <c r="K117" s="23"/>
      <c r="L117" s="24">
        <f t="shared" si="3"/>
        <v>5813483.7300000004</v>
      </c>
      <c r="M117" s="40"/>
    </row>
    <row r="118" spans="1:16" x14ac:dyDescent="0.25">
      <c r="A118" s="12">
        <v>214454.87</v>
      </c>
      <c r="B118" s="1" t="s">
        <v>221</v>
      </c>
      <c r="C118" s="1" t="s">
        <v>222</v>
      </c>
      <c r="D118" s="3">
        <v>57694.74</v>
      </c>
      <c r="E118" s="3">
        <v>0</v>
      </c>
      <c r="F118" s="5">
        <f t="shared" si="2"/>
        <v>57694.74</v>
      </c>
      <c r="G118" s="7"/>
      <c r="J118" s="22"/>
      <c r="K118" s="23"/>
      <c r="L118" s="24">
        <f t="shared" si="3"/>
        <v>57694.74</v>
      </c>
      <c r="M118" s="40"/>
    </row>
    <row r="119" spans="1:16" x14ac:dyDescent="0.25">
      <c r="A119" s="12">
        <v>5.9999999999999995E-4</v>
      </c>
      <c r="B119" s="1" t="s">
        <v>223</v>
      </c>
      <c r="C119" s="1" t="s">
        <v>224</v>
      </c>
      <c r="D119" s="3">
        <v>5.9999999999999995E-4</v>
      </c>
      <c r="E119" s="3">
        <v>0</v>
      </c>
      <c r="F119" s="5">
        <f t="shared" si="2"/>
        <v>5.9999999999999995E-4</v>
      </c>
      <c r="G119" s="7"/>
      <c r="J119" s="22"/>
      <c r="K119" s="23"/>
      <c r="L119" s="24">
        <f t="shared" si="3"/>
        <v>5.9999999999999995E-4</v>
      </c>
    </row>
    <row r="120" spans="1:16" x14ac:dyDescent="0.25">
      <c r="A120" s="12">
        <v>716835.50930000003</v>
      </c>
      <c r="B120" s="1" t="s">
        <v>225</v>
      </c>
      <c r="C120" s="1" t="s">
        <v>226</v>
      </c>
      <c r="D120" s="3">
        <v>806122.5993</v>
      </c>
      <c r="E120" s="3">
        <v>0</v>
      </c>
      <c r="F120" s="5">
        <f t="shared" si="2"/>
        <v>806122.5993</v>
      </c>
      <c r="G120" s="7"/>
      <c r="J120" s="22"/>
      <c r="K120" s="23"/>
      <c r="L120" s="24">
        <f t="shared" si="3"/>
        <v>806122.5993</v>
      </c>
      <c r="M120" s="40">
        <f>+L120/51740.86</f>
        <v>15.580000009663543</v>
      </c>
    </row>
    <row r="121" spans="1:16" x14ac:dyDescent="0.25">
      <c r="A121" s="12">
        <v>730867.31940000004</v>
      </c>
      <c r="B121" s="1" t="s">
        <v>227</v>
      </c>
      <c r="C121" s="1" t="s">
        <v>228</v>
      </c>
      <c r="D121" s="3">
        <v>789912.34939999995</v>
      </c>
      <c r="E121" s="3">
        <v>0</v>
      </c>
      <c r="F121" s="5">
        <f t="shared" si="2"/>
        <v>789912.34939999995</v>
      </c>
      <c r="G121" s="7"/>
      <c r="J121" s="22"/>
      <c r="K121" s="23"/>
      <c r="L121" s="24">
        <f t="shared" si="3"/>
        <v>789912.34939999995</v>
      </c>
      <c r="M121" s="40">
        <f>+L121/46139.74</f>
        <v>17.120000013003974</v>
      </c>
    </row>
    <row r="122" spans="1:16" x14ac:dyDescent="0.25">
      <c r="A122" s="12">
        <v>122267.64</v>
      </c>
      <c r="B122" s="1" t="s">
        <v>229</v>
      </c>
      <c r="C122" s="1" t="s">
        <v>230</v>
      </c>
      <c r="D122" s="3">
        <v>132232.65</v>
      </c>
      <c r="E122" s="3">
        <v>0</v>
      </c>
      <c r="F122" s="5">
        <f t="shared" si="2"/>
        <v>132232.65</v>
      </c>
      <c r="G122" s="7"/>
      <c r="H122" s="12">
        <f>SUM(A115:A122)</f>
        <v>8818671.6392999999</v>
      </c>
      <c r="I122" s="3">
        <v>8861215</v>
      </c>
      <c r="J122" s="22">
        <f>+I122-H122</f>
        <v>42543.360700000077</v>
      </c>
      <c r="K122" s="23"/>
      <c r="L122" s="24">
        <f t="shared" si="3"/>
        <v>174776.01070000007</v>
      </c>
      <c r="M122" s="40">
        <f>+L122/6601.73</f>
        <v>26.47427427356164</v>
      </c>
    </row>
    <row r="123" spans="1:16" x14ac:dyDescent="0.25">
      <c r="A123" s="3">
        <v>6.9999999999999999E-4</v>
      </c>
      <c r="B123" s="1" t="s">
        <v>231</v>
      </c>
      <c r="C123" s="1" t="s">
        <v>232</v>
      </c>
      <c r="D123" s="3">
        <v>6.9999999999999999E-4</v>
      </c>
      <c r="E123" s="3">
        <v>0</v>
      </c>
      <c r="F123" s="5">
        <f t="shared" si="2"/>
        <v>6.9999999999999999E-4</v>
      </c>
      <c r="G123" s="7"/>
      <c r="J123" s="22"/>
      <c r="K123" s="23"/>
      <c r="L123" s="24">
        <f t="shared" si="3"/>
        <v>6.9999999999999999E-4</v>
      </c>
    </row>
    <row r="124" spans="1:16" x14ac:dyDescent="0.25">
      <c r="A124" s="16">
        <v>-1735769.47</v>
      </c>
      <c r="B124" s="1" t="s">
        <v>233</v>
      </c>
      <c r="C124" s="1" t="s">
        <v>234</v>
      </c>
      <c r="D124" s="2">
        <v>0</v>
      </c>
      <c r="E124" s="3">
        <v>2727695.12</v>
      </c>
      <c r="F124" s="5">
        <f t="shared" si="2"/>
        <v>-2727695.12</v>
      </c>
      <c r="G124" s="7"/>
      <c r="J124" s="22"/>
      <c r="K124" s="23"/>
      <c r="L124" s="24">
        <f t="shared" si="3"/>
        <v>-2727695.12</v>
      </c>
    </row>
    <row r="125" spans="1:16" x14ac:dyDescent="0.25">
      <c r="A125" s="17" t="s">
        <v>3</v>
      </c>
      <c r="B125" s="1" t="s">
        <v>235</v>
      </c>
      <c r="C125" s="1" t="s">
        <v>236</v>
      </c>
      <c r="D125" s="2">
        <v>0</v>
      </c>
      <c r="E125" s="3">
        <v>0</v>
      </c>
      <c r="F125" s="5">
        <f t="shared" si="2"/>
        <v>0</v>
      </c>
      <c r="G125" s="7"/>
      <c r="J125" s="22"/>
      <c r="K125" s="23"/>
      <c r="L125" s="24">
        <f t="shared" si="3"/>
        <v>0</v>
      </c>
    </row>
    <row r="126" spans="1:16" x14ac:dyDescent="0.25">
      <c r="A126" s="16">
        <v>-119247.81</v>
      </c>
      <c r="B126" s="1" t="s">
        <v>237</v>
      </c>
      <c r="C126" s="1" t="s">
        <v>238</v>
      </c>
      <c r="D126" s="2">
        <v>0</v>
      </c>
      <c r="E126" s="3">
        <v>119247.81</v>
      </c>
      <c r="F126" s="5">
        <f t="shared" si="2"/>
        <v>-119247.81</v>
      </c>
      <c r="G126" s="7"/>
      <c r="J126" s="22"/>
      <c r="K126" s="23"/>
      <c r="L126" s="24">
        <f t="shared" si="3"/>
        <v>-119247.81</v>
      </c>
    </row>
    <row r="127" spans="1:16" x14ac:dyDescent="0.25">
      <c r="A127" s="16">
        <v>-300000</v>
      </c>
      <c r="B127" s="1" t="s">
        <v>239</v>
      </c>
      <c r="C127" s="1" t="s">
        <v>240</v>
      </c>
      <c r="D127" s="2">
        <v>0</v>
      </c>
      <c r="E127" s="3">
        <v>300000</v>
      </c>
      <c r="F127" s="5">
        <f t="shared" si="2"/>
        <v>-300000</v>
      </c>
      <c r="G127" s="7"/>
      <c r="H127" s="16">
        <f>SUM(A124:A127)</f>
        <v>-2155017.2800000003</v>
      </c>
      <c r="I127" s="3">
        <v>-2146659</v>
      </c>
      <c r="J127" s="22">
        <f>+I127-H127</f>
        <v>8358.2800000002608</v>
      </c>
      <c r="K127" s="23"/>
      <c r="L127" s="24">
        <f t="shared" si="3"/>
        <v>-291641.71999999974</v>
      </c>
    </row>
    <row r="128" spans="1:16" x14ac:dyDescent="0.25">
      <c r="A128" s="20">
        <v>2770172.46</v>
      </c>
      <c r="B128" s="1" t="s">
        <v>241</v>
      </c>
      <c r="C128" s="1" t="s">
        <v>242</v>
      </c>
      <c r="D128" s="3">
        <v>1638418.24</v>
      </c>
      <c r="E128" s="3">
        <v>0</v>
      </c>
      <c r="F128" s="5">
        <f t="shared" si="2"/>
        <v>1638418.24</v>
      </c>
      <c r="G128" s="7"/>
      <c r="H128" s="20">
        <f>+A128</f>
        <v>2770172.46</v>
      </c>
      <c r="I128" s="3">
        <v>1309596</v>
      </c>
      <c r="J128" s="22">
        <f>+I128-H128</f>
        <v>-1460576.46</v>
      </c>
      <c r="K128" s="23">
        <f>+AJEs!D47+AJEs!D62</f>
        <v>-331271.21999999997</v>
      </c>
      <c r="L128" s="24">
        <f t="shared" si="3"/>
        <v>-153429.43999999994</v>
      </c>
      <c r="P128" s="39"/>
    </row>
    <row r="129" spans="1:12" x14ac:dyDescent="0.25">
      <c r="A129" s="21">
        <v>18509.43</v>
      </c>
      <c r="B129" s="1" t="s">
        <v>243</v>
      </c>
      <c r="C129" s="1" t="s">
        <v>244</v>
      </c>
      <c r="D129" s="3">
        <v>18509.43</v>
      </c>
      <c r="E129" s="3">
        <v>0</v>
      </c>
      <c r="F129" s="5">
        <f t="shared" si="2"/>
        <v>18509.43</v>
      </c>
      <c r="G129" s="7"/>
      <c r="H129" s="21">
        <f>+A129</f>
        <v>18509.43</v>
      </c>
      <c r="I129" s="3">
        <v>0</v>
      </c>
      <c r="J129" s="22">
        <f>+I129-H129</f>
        <v>-18509.43</v>
      </c>
      <c r="K129" s="23"/>
      <c r="L129" s="24">
        <f t="shared" si="3"/>
        <v>0</v>
      </c>
    </row>
    <row r="130" spans="1:12" x14ac:dyDescent="0.25">
      <c r="A130" s="21">
        <v>-298857.77</v>
      </c>
      <c r="B130" s="1" t="s">
        <v>245</v>
      </c>
      <c r="C130" s="1" t="s">
        <v>246</v>
      </c>
      <c r="D130" s="2">
        <v>0</v>
      </c>
      <c r="E130" s="3">
        <v>298857.77</v>
      </c>
      <c r="F130" s="5">
        <f t="shared" si="2"/>
        <v>-298857.77</v>
      </c>
      <c r="G130" s="7"/>
      <c r="H130" s="21">
        <f>+A130</f>
        <v>-298857.77</v>
      </c>
      <c r="I130" s="3">
        <v>0</v>
      </c>
      <c r="J130" s="22">
        <f>+I130-H130</f>
        <v>298857.77</v>
      </c>
      <c r="K130" s="23"/>
      <c r="L130" s="24">
        <f t="shared" si="3"/>
        <v>0</v>
      </c>
    </row>
    <row r="131" spans="1:12" x14ac:dyDescent="0.25">
      <c r="A131" s="11">
        <v>-389884.1</v>
      </c>
      <c r="B131" s="1" t="s">
        <v>247</v>
      </c>
      <c r="C131" s="1" t="s">
        <v>248</v>
      </c>
      <c r="D131" s="2">
        <v>0</v>
      </c>
      <c r="E131" s="3">
        <v>413083.84</v>
      </c>
      <c r="F131" s="5">
        <f t="shared" si="2"/>
        <v>-413083.84</v>
      </c>
      <c r="G131" s="7"/>
      <c r="H131" s="11">
        <f>+A131</f>
        <v>-389884.1</v>
      </c>
      <c r="I131" s="3">
        <v>-389884</v>
      </c>
      <c r="J131" s="22">
        <f>+I131-H131</f>
        <v>9.9999999976716936E-2</v>
      </c>
      <c r="K131" s="23"/>
      <c r="L131" s="24">
        <f t="shared" si="3"/>
        <v>-413083.74000000005</v>
      </c>
    </row>
    <row r="132" spans="1:12" ht="15.75" thickBot="1" x14ac:dyDescent="0.3">
      <c r="A132" s="2" t="s">
        <v>3</v>
      </c>
      <c r="B132" s="1" t="s">
        <v>3</v>
      </c>
      <c r="C132" s="1" t="s">
        <v>3</v>
      </c>
      <c r="D132" s="2" t="s">
        <v>3</v>
      </c>
      <c r="F132" s="5"/>
      <c r="G132" s="7"/>
      <c r="J132" s="22"/>
      <c r="K132" s="23"/>
      <c r="L132" s="24">
        <f t="shared" si="3"/>
        <v>0</v>
      </c>
    </row>
    <row r="133" spans="1:12" ht="15.75" thickBot="1" x14ac:dyDescent="0.3">
      <c r="A133" s="3">
        <v>-1.6999999999999999E-3</v>
      </c>
      <c r="B133" s="1" t="s">
        <v>3</v>
      </c>
      <c r="C133" s="1" t="s">
        <v>3</v>
      </c>
      <c r="D133" s="3">
        <v>51185214.834899999</v>
      </c>
      <c r="E133" s="3">
        <v>51185214.836800002</v>
      </c>
      <c r="F133" s="5">
        <f>SUM(F4:F131)</f>
        <v>-1.9000056781806052E-3</v>
      </c>
      <c r="G133" s="5">
        <f>SUM(G4:G131)</f>
        <v>0</v>
      </c>
      <c r="H133" s="5">
        <f t="shared" ref="H133:L133" si="5">SUM(H4:H131)</f>
        <v>-2.4000038392841816E-3</v>
      </c>
      <c r="I133" s="5"/>
      <c r="J133" s="5">
        <f t="shared" si="5"/>
        <v>0.24239999969722703</v>
      </c>
      <c r="K133" s="5">
        <f t="shared" si="5"/>
        <v>-2.3865140974521637E-9</v>
      </c>
      <c r="L133" s="41">
        <f t="shared" si="5"/>
        <v>0.24049999489216134</v>
      </c>
    </row>
    <row r="134" spans="1:12" x14ac:dyDescent="0.25">
      <c r="A134" s="2" t="s">
        <v>3</v>
      </c>
      <c r="B134" s="1" t="s">
        <v>3</v>
      </c>
      <c r="C134" s="1" t="s">
        <v>3</v>
      </c>
      <c r="D134" s="2" t="s">
        <v>3</v>
      </c>
      <c r="F134" s="4"/>
    </row>
  </sheetData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5270-A814-4AF0-B304-BFF1DCD547C8}">
  <dimension ref="A1:F63"/>
  <sheetViews>
    <sheetView tabSelected="1" topLeftCell="A31" workbookViewId="0">
      <selection activeCell="B63" sqref="B63"/>
    </sheetView>
  </sheetViews>
  <sheetFormatPr defaultRowHeight="15" x14ac:dyDescent="0.25"/>
  <cols>
    <col min="2" max="2" width="29.7109375" bestFit="1" customWidth="1"/>
    <col min="4" max="4" width="14.140625" style="36" bestFit="1" customWidth="1"/>
  </cols>
  <sheetData>
    <row r="1" spans="1:5" ht="21" x14ac:dyDescent="0.35">
      <c r="A1" s="34" t="s">
        <v>256</v>
      </c>
      <c r="B1" s="35">
        <v>43889</v>
      </c>
      <c r="C1" s="34"/>
    </row>
    <row r="2" spans="1:5" ht="21" x14ac:dyDescent="0.35">
      <c r="A2" s="34"/>
      <c r="B2" s="34"/>
      <c r="C2" s="34"/>
    </row>
    <row r="4" spans="1:5" x14ac:dyDescent="0.25">
      <c r="B4" t="s">
        <v>257</v>
      </c>
      <c r="C4" t="s">
        <v>6</v>
      </c>
      <c r="E4" t="s">
        <v>4</v>
      </c>
    </row>
    <row r="5" spans="1:5" x14ac:dyDescent="0.25">
      <c r="B5" t="s">
        <v>258</v>
      </c>
      <c r="C5" t="s">
        <v>159</v>
      </c>
      <c r="E5" t="s">
        <v>5</v>
      </c>
    </row>
    <row r="6" spans="1:5" x14ac:dyDescent="0.25">
      <c r="B6" t="s">
        <v>259</v>
      </c>
    </row>
    <row r="8" spans="1:5" x14ac:dyDescent="0.25">
      <c r="B8" t="s">
        <v>257</v>
      </c>
      <c r="C8" t="s">
        <v>6</v>
      </c>
      <c r="D8" s="36">
        <v>75000</v>
      </c>
      <c r="E8" t="s">
        <v>4</v>
      </c>
    </row>
    <row r="9" spans="1:5" x14ac:dyDescent="0.25">
      <c r="B9" t="s">
        <v>260</v>
      </c>
      <c r="C9" t="s">
        <v>153</v>
      </c>
      <c r="D9" s="36">
        <v>-75000</v>
      </c>
      <c r="E9" t="s">
        <v>5</v>
      </c>
    </row>
    <row r="10" spans="1:5" x14ac:dyDescent="0.25">
      <c r="B10" t="s">
        <v>261</v>
      </c>
      <c r="C10" t="s">
        <v>155</v>
      </c>
      <c r="E10" t="s">
        <v>5</v>
      </c>
    </row>
    <row r="11" spans="1:5" x14ac:dyDescent="0.25">
      <c r="B11" t="s">
        <v>262</v>
      </c>
    </row>
    <row r="13" spans="1:5" x14ac:dyDescent="0.25">
      <c r="B13" t="s">
        <v>263</v>
      </c>
      <c r="C13" t="s">
        <v>159</v>
      </c>
      <c r="D13" s="36">
        <f>-D14</f>
        <v>414334.09017331153</v>
      </c>
      <c r="E13" t="s">
        <v>4</v>
      </c>
    </row>
    <row r="14" spans="1:5" x14ac:dyDescent="0.25">
      <c r="B14" t="s">
        <v>264</v>
      </c>
      <c r="C14" t="s">
        <v>26</v>
      </c>
      <c r="D14" s="36">
        <v>-414334.09017331153</v>
      </c>
      <c r="E14" t="s">
        <v>5</v>
      </c>
    </row>
    <row r="15" spans="1:5" ht="30" x14ac:dyDescent="0.25">
      <c r="B15" s="6" t="s">
        <v>265</v>
      </c>
    </row>
    <row r="17" spans="2:5" x14ac:dyDescent="0.25">
      <c r="B17" t="s">
        <v>266</v>
      </c>
      <c r="C17" t="s">
        <v>118</v>
      </c>
      <c r="E17" t="s">
        <v>4</v>
      </c>
    </row>
    <row r="18" spans="2:5" x14ac:dyDescent="0.25">
      <c r="B18" t="s">
        <v>267</v>
      </c>
      <c r="C18" t="s">
        <v>268</v>
      </c>
      <c r="E18" t="s">
        <v>5</v>
      </c>
    </row>
    <row r="19" spans="2:5" x14ac:dyDescent="0.25">
      <c r="B19" s="6" t="s">
        <v>269</v>
      </c>
    </row>
    <row r="21" spans="2:5" x14ac:dyDescent="0.25">
      <c r="B21" t="s">
        <v>270</v>
      </c>
      <c r="C21" t="s">
        <v>70</v>
      </c>
      <c r="D21" s="36">
        <v>784450.73</v>
      </c>
      <c r="E21" t="s">
        <v>4</v>
      </c>
    </row>
    <row r="22" spans="2:5" x14ac:dyDescent="0.25">
      <c r="B22" t="s">
        <v>271</v>
      </c>
      <c r="C22" t="s">
        <v>126</v>
      </c>
      <c r="D22" s="36">
        <f>-D21</f>
        <v>-784450.73</v>
      </c>
      <c r="E22" t="s">
        <v>5</v>
      </c>
    </row>
    <row r="23" spans="2:5" ht="30" x14ac:dyDescent="0.25">
      <c r="B23" s="6" t="s">
        <v>272</v>
      </c>
    </row>
    <row r="25" spans="2:5" x14ac:dyDescent="0.25">
      <c r="B25" t="s">
        <v>273</v>
      </c>
      <c r="C25" t="s">
        <v>274</v>
      </c>
      <c r="D25" s="36">
        <f>-D26-D27-D28</f>
        <v>84231.37</v>
      </c>
      <c r="E25" t="s">
        <v>4</v>
      </c>
    </row>
    <row r="26" spans="2:5" x14ac:dyDescent="0.25">
      <c r="B26" s="6" t="s">
        <v>275</v>
      </c>
      <c r="C26" t="s">
        <v>177</v>
      </c>
      <c r="D26" s="36">
        <v>-7082.6</v>
      </c>
      <c r="E26" t="s">
        <v>5</v>
      </c>
    </row>
    <row r="27" spans="2:5" x14ac:dyDescent="0.25">
      <c r="B27" t="s">
        <v>276</v>
      </c>
      <c r="C27" t="s">
        <v>189</v>
      </c>
      <c r="D27" s="36">
        <v>-47157.57</v>
      </c>
      <c r="E27" t="s">
        <v>5</v>
      </c>
    </row>
    <row r="28" spans="2:5" x14ac:dyDescent="0.25">
      <c r="B28" t="s">
        <v>277</v>
      </c>
      <c r="C28" t="s">
        <v>165</v>
      </c>
      <c r="D28" s="36">
        <v>-29991.200000000001</v>
      </c>
      <c r="E28" t="s">
        <v>5</v>
      </c>
    </row>
    <row r="29" spans="2:5" x14ac:dyDescent="0.25">
      <c r="B29" t="s">
        <v>278</v>
      </c>
    </row>
    <row r="31" spans="2:5" x14ac:dyDescent="0.25">
      <c r="B31" t="s">
        <v>279</v>
      </c>
      <c r="C31" t="s">
        <v>280</v>
      </c>
      <c r="D31" s="37"/>
      <c r="E31" t="s">
        <v>4</v>
      </c>
    </row>
    <row r="32" spans="2:5" x14ac:dyDescent="0.25">
      <c r="B32" t="s">
        <v>281</v>
      </c>
      <c r="C32" t="s">
        <v>282</v>
      </c>
      <c r="D32" s="37"/>
      <c r="E32" t="s">
        <v>5</v>
      </c>
    </row>
    <row r="33" spans="2:6" x14ac:dyDescent="0.25">
      <c r="B33" t="s">
        <v>283</v>
      </c>
      <c r="C33" t="s">
        <v>241</v>
      </c>
      <c r="D33" s="37"/>
      <c r="E33" t="s">
        <v>5</v>
      </c>
    </row>
    <row r="34" spans="2:6" x14ac:dyDescent="0.25">
      <c r="B34" t="s">
        <v>284</v>
      </c>
      <c r="C34" t="s">
        <v>285</v>
      </c>
      <c r="D34" s="37"/>
      <c r="E34" t="s">
        <v>4</v>
      </c>
    </row>
    <row r="35" spans="2:6" x14ac:dyDescent="0.25">
      <c r="B35" t="s">
        <v>286</v>
      </c>
      <c r="D35" s="37"/>
    </row>
    <row r="36" spans="2:6" x14ac:dyDescent="0.25">
      <c r="D36" s="37"/>
    </row>
    <row r="37" spans="2:6" x14ac:dyDescent="0.25">
      <c r="B37" t="s">
        <v>266</v>
      </c>
      <c r="C37" t="s">
        <v>118</v>
      </c>
      <c r="D37" s="36">
        <f>-D38</f>
        <v>40516.550000000003</v>
      </c>
      <c r="E37" t="s">
        <v>4</v>
      </c>
    </row>
    <row r="38" spans="2:6" x14ac:dyDescent="0.25">
      <c r="B38" t="s">
        <v>287</v>
      </c>
      <c r="C38" t="s">
        <v>187</v>
      </c>
      <c r="D38" s="36">
        <v>-40516.550000000003</v>
      </c>
      <c r="E38" t="s">
        <v>5</v>
      </c>
    </row>
    <row r="39" spans="2:6" x14ac:dyDescent="0.25">
      <c r="B39" t="s">
        <v>288</v>
      </c>
    </row>
    <row r="42" spans="2:6" x14ac:dyDescent="0.25">
      <c r="B42" t="s">
        <v>7</v>
      </c>
      <c r="C42" t="s">
        <v>8</v>
      </c>
      <c r="D42" s="36">
        <v>141382.84999999776</v>
      </c>
      <c r="E42" t="s">
        <v>4</v>
      </c>
    </row>
    <row r="43" spans="2:6" x14ac:dyDescent="0.25">
      <c r="B43" t="s">
        <v>257</v>
      </c>
      <c r="C43" t="s">
        <v>6</v>
      </c>
      <c r="D43" s="36">
        <v>-141382.85</v>
      </c>
      <c r="E43" t="s">
        <v>5</v>
      </c>
    </row>
    <row r="44" spans="2:6" x14ac:dyDescent="0.25">
      <c r="B44" t="s">
        <v>289</v>
      </c>
    </row>
    <row r="46" spans="2:6" x14ac:dyDescent="0.25">
      <c r="B46" t="s">
        <v>293</v>
      </c>
      <c r="C46" t="s">
        <v>296</v>
      </c>
      <c r="D46" s="36">
        <v>-79331.78</v>
      </c>
      <c r="E46" t="s">
        <v>294</v>
      </c>
      <c r="F46" t="s">
        <v>297</v>
      </c>
    </row>
    <row r="47" spans="2:6" x14ac:dyDescent="0.25">
      <c r="B47" t="s">
        <v>295</v>
      </c>
      <c r="C47" t="s">
        <v>241</v>
      </c>
      <c r="D47" s="36">
        <f>-D46</f>
        <v>79331.78</v>
      </c>
      <c r="E47" t="s">
        <v>4</v>
      </c>
    </row>
    <row r="48" spans="2:6" x14ac:dyDescent="0.25">
      <c r="B48" t="s">
        <v>298</v>
      </c>
    </row>
    <row r="50" spans="2:5" x14ac:dyDescent="0.25">
      <c r="B50" t="s">
        <v>300</v>
      </c>
      <c r="C50" t="s">
        <v>157</v>
      </c>
      <c r="D50" s="36">
        <v>750000</v>
      </c>
      <c r="E50" t="s">
        <v>4</v>
      </c>
    </row>
    <row r="51" spans="2:5" x14ac:dyDescent="0.25">
      <c r="B51" t="s">
        <v>257</v>
      </c>
      <c r="C51" t="s">
        <v>8</v>
      </c>
      <c r="D51" s="36">
        <v>-750000</v>
      </c>
      <c r="E51" t="s">
        <v>5</v>
      </c>
    </row>
    <row r="52" spans="2:5" x14ac:dyDescent="0.25">
      <c r="B52" t="s">
        <v>301</v>
      </c>
    </row>
    <row r="54" spans="2:5" x14ac:dyDescent="0.25">
      <c r="B54" t="s">
        <v>302</v>
      </c>
      <c r="C54" t="s">
        <v>32</v>
      </c>
      <c r="D54" s="36">
        <v>-948615.99</v>
      </c>
      <c r="E54" t="s">
        <v>5</v>
      </c>
    </row>
    <row r="55" spans="2:5" x14ac:dyDescent="0.25">
      <c r="B55" t="s">
        <v>257</v>
      </c>
      <c r="C55" t="s">
        <v>8</v>
      </c>
      <c r="D55" s="36">
        <v>948615.99</v>
      </c>
      <c r="E55" t="s">
        <v>4</v>
      </c>
    </row>
    <row r="57" spans="2:5" x14ac:dyDescent="0.25">
      <c r="B57" t="s">
        <v>258</v>
      </c>
      <c r="C57" t="s">
        <v>159</v>
      </c>
      <c r="D57" s="36">
        <v>80000</v>
      </c>
      <c r="E57" t="s">
        <v>4</v>
      </c>
    </row>
    <row r="58" spans="2:5" x14ac:dyDescent="0.25">
      <c r="B58" t="s">
        <v>257</v>
      </c>
      <c r="C58" t="s">
        <v>8</v>
      </c>
      <c r="D58" s="36">
        <f>-D57</f>
        <v>-80000</v>
      </c>
      <c r="E58" t="s">
        <v>5</v>
      </c>
    </row>
    <row r="59" spans="2:5" x14ac:dyDescent="0.25">
      <c r="B59" t="s">
        <v>303</v>
      </c>
    </row>
    <row r="61" spans="2:5" x14ac:dyDescent="0.25">
      <c r="B61" t="s">
        <v>304</v>
      </c>
      <c r="C61" t="s">
        <v>280</v>
      </c>
      <c r="D61" s="36">
        <v>410603</v>
      </c>
    </row>
    <row r="62" spans="2:5" x14ac:dyDescent="0.25">
      <c r="B62" t="s">
        <v>283</v>
      </c>
      <c r="C62" t="s">
        <v>241</v>
      </c>
      <c r="D62" s="36">
        <v>-410603</v>
      </c>
    </row>
    <row r="63" spans="2:5" x14ac:dyDescent="0.25">
      <c r="B63" t="s">
        <v>305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</vt:lpstr>
      <vt:lpstr>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Bernadine Wright</dc:creator>
  <cp:lastModifiedBy>Danie Bantjes</cp:lastModifiedBy>
  <cp:lastPrinted>2020-07-29T11:46:06Z</cp:lastPrinted>
  <dcterms:created xsi:type="dcterms:W3CDTF">2020-03-27T10:26:38Z</dcterms:created>
  <dcterms:modified xsi:type="dcterms:W3CDTF">2020-08-13T12:58:15Z</dcterms:modified>
</cp:coreProperties>
</file>