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georgegroupsa-my.sharepoint.com/personal/danieb_thegeorgegroup_co_za/Documents/Danny/Danie Dropbox Backup 300521016/LG External HDD/Strategic Logistics 2020/"/>
    </mc:Choice>
  </mc:AlternateContent>
  <xr:revisionPtr revIDLastSave="25" documentId="13_ncr:1_{6D630DFD-1E86-4C4D-BEA8-7B78C8532607}" xr6:coauthVersionLast="45" xr6:coauthVersionMax="45" xr10:uidLastSave="{AE019491-E573-4F80-BD11-9F1C27B1E683}"/>
  <bookViews>
    <workbookView xWindow="-120" yWindow="-120" windowWidth="29040" windowHeight="15840" xr2:uid="{789F6E1F-728C-4DB0-9146-1BFA222475F4}"/>
  </bookViews>
  <sheets>
    <sheet name="TB" sheetId="1" r:id="rId1"/>
    <sheet name="AJEs" sheetId="3" r:id="rId2"/>
    <sheet name="VAT" sheetId="2" r:id="rId3"/>
  </sheets>
  <definedNames>
    <definedName name="_xlnm._FilterDatabase" localSheetId="0" hidden="1">TB!$A$3:$K$55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K5" i="1"/>
  <c r="D31" i="3"/>
  <c r="K34" i="1"/>
  <c r="D27" i="3"/>
  <c r="L32" i="1" l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1" i="1"/>
  <c r="I32" i="1"/>
  <c r="I34" i="1"/>
  <c r="G54" i="1"/>
  <c r="H54" i="1"/>
  <c r="I49" i="1"/>
  <c r="I43" i="1"/>
  <c r="I33" i="1"/>
  <c r="I51" i="1"/>
  <c r="I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1" i="1"/>
  <c r="I54" i="1" l="1"/>
  <c r="Q27" i="1" l="1"/>
  <c r="L53" i="1" l="1"/>
  <c r="K25" i="1"/>
  <c r="D18" i="3"/>
  <c r="K54" i="1" l="1"/>
  <c r="J19" i="1"/>
  <c r="J12" i="1"/>
  <c r="J11" i="1"/>
  <c r="J9" i="1"/>
  <c r="J4" i="1"/>
  <c r="B32" i="2"/>
  <c r="B24" i="2"/>
  <c r="C17" i="2"/>
  <c r="B17" i="2"/>
  <c r="I5" i="2"/>
  <c r="I17" i="2" s="1"/>
  <c r="J54" i="1" l="1"/>
  <c r="I20" i="2"/>
  <c r="B23" i="2"/>
  <c r="B25" i="2" s="1"/>
  <c r="F5" i="1" l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M47" i="1" s="1"/>
  <c r="F48" i="1"/>
  <c r="M48" i="1" s="1"/>
  <c r="F49" i="1"/>
  <c r="M49" i="1" s="1"/>
  <c r="F50" i="1"/>
  <c r="F51" i="1"/>
  <c r="F52" i="1"/>
  <c r="F4" i="1"/>
  <c r="F54" i="1" l="1"/>
  <c r="L4" i="1"/>
  <c r="M27" i="1" l="1"/>
  <c r="Q28" i="1" s="1"/>
  <c r="L54" i="1"/>
</calcChain>
</file>

<file path=xl/sharedStrings.xml><?xml version="1.0" encoding="utf-8"?>
<sst xmlns="http://schemas.openxmlformats.org/spreadsheetml/2006/main" count="220" uniqueCount="159">
  <si>
    <t>Trial Balance : 01/03/19 to 29/02/20</t>
  </si>
  <si>
    <t>Last Year</t>
  </si>
  <si>
    <t>Account</t>
  </si>
  <si>
    <t/>
  </si>
  <si>
    <t>DR</t>
  </si>
  <si>
    <t>CR</t>
  </si>
  <si>
    <t>1000/000</t>
  </si>
  <si>
    <t>Sales</t>
  </si>
  <si>
    <t>2000/000</t>
  </si>
  <si>
    <t>Cost of Sales</t>
  </si>
  <si>
    <t>2100/000</t>
  </si>
  <si>
    <t>Inventory Adjustment</t>
  </si>
  <si>
    <t>2400/000</t>
  </si>
  <si>
    <t>Manufacture Cost / Recovery Account</t>
  </si>
  <si>
    <t>2400/020</t>
  </si>
  <si>
    <t>Packaging Cost / Recovery</t>
  </si>
  <si>
    <t>2400/025</t>
  </si>
  <si>
    <t>Packaging Costs Recovered</t>
  </si>
  <si>
    <t>2500/000</t>
  </si>
  <si>
    <t>Pft/Loss on Foreign Currency Exchange</t>
  </si>
  <si>
    <t>2690/000</t>
  </si>
  <si>
    <t>Admin Fee - Received</t>
  </si>
  <si>
    <t>2730/000</t>
  </si>
  <si>
    <t>Freight Costs - received</t>
  </si>
  <si>
    <t>2750/000</t>
  </si>
  <si>
    <t>Interest Received</t>
  </si>
  <si>
    <t>3049/000</t>
  </si>
  <si>
    <t>Admin Fee Paid</t>
  </si>
  <si>
    <t>3120/000</t>
  </si>
  <si>
    <t>Annual Fees</t>
  </si>
  <si>
    <t>3200/000</t>
  </si>
  <si>
    <t>Bank Charges</t>
  </si>
  <si>
    <t>3350/000</t>
  </si>
  <si>
    <t>Consulting Fees</t>
  </si>
  <si>
    <t>3400/000</t>
  </si>
  <si>
    <t>Courier &amp; Postage</t>
  </si>
  <si>
    <t>3400/025</t>
  </si>
  <si>
    <t>Courier &amp; Postage recovered</t>
  </si>
  <si>
    <t>3760/000</t>
  </si>
  <si>
    <t>Freight Charges</t>
  </si>
  <si>
    <t>3760/025</t>
  </si>
  <si>
    <t>3770/000</t>
  </si>
  <si>
    <t>Forex Charges</t>
  </si>
  <si>
    <t>3800/000</t>
  </si>
  <si>
    <t>General Expenses</t>
  </si>
  <si>
    <t>3800/030</t>
  </si>
  <si>
    <t>General Expenses - Factory Consummables</t>
  </si>
  <si>
    <t>3900/000</t>
  </si>
  <si>
    <t>Interest Paid</t>
  </si>
  <si>
    <t>4201/000</t>
  </si>
  <si>
    <t>Printing - Once Off Costs - New Products</t>
  </si>
  <si>
    <t>4300/000</t>
  </si>
  <si>
    <t>Rent Paid</t>
  </si>
  <si>
    <t>Nett Profit</t>
  </si>
  <si>
    <t>5100/000</t>
  </si>
  <si>
    <t>Share Capital / Members Contribution</t>
  </si>
  <si>
    <t>5200/000</t>
  </si>
  <si>
    <t>Retained Income / (Accumulated Loss)</t>
  </si>
  <si>
    <t>5400/000</t>
  </si>
  <si>
    <t>Share Holders / Directors / Members Loan</t>
  </si>
  <si>
    <t>5466/000</t>
  </si>
  <si>
    <t>RegimA - Loan Account</t>
  </si>
  <si>
    <t>5467/000</t>
  </si>
  <si>
    <t>Villa Via - Loan Account</t>
  </si>
  <si>
    <t>7500/000</t>
  </si>
  <si>
    <t>Inventory Control - Raw Mat - Product</t>
  </si>
  <si>
    <t>7540/000</t>
  </si>
  <si>
    <t>Inventory Control - Raw Mat - Primary</t>
  </si>
  <si>
    <t>7550/000</t>
  </si>
  <si>
    <t>Inventory Control - Inserts Lables &amp; SND</t>
  </si>
  <si>
    <t>7600/000</t>
  </si>
  <si>
    <t>Inventory Control - Raw Mat - Empty Tube</t>
  </si>
  <si>
    <t>7650/000</t>
  </si>
  <si>
    <t>Inventory Control - Raw Mat - Empty Cont</t>
  </si>
  <si>
    <t>7700/000</t>
  </si>
  <si>
    <t>Inventory Control - Finished Goods</t>
  </si>
  <si>
    <t>7750/000</t>
  </si>
  <si>
    <t>Inventory Control - Raw Mat - Boxes</t>
  </si>
  <si>
    <t>8000/000</t>
  </si>
  <si>
    <t>Customer Control Account</t>
  </si>
  <si>
    <t>8400/000</t>
  </si>
  <si>
    <t>FNB</t>
  </si>
  <si>
    <t>8410/000</t>
  </si>
  <si>
    <t>Petty Cash</t>
  </si>
  <si>
    <t>8420/000</t>
  </si>
  <si>
    <t>FNB Savings Account</t>
  </si>
  <si>
    <t>8440/000</t>
  </si>
  <si>
    <t>FNB CFC USD</t>
  </si>
  <si>
    <t>8450/000</t>
  </si>
  <si>
    <t>FNB CFC EURO</t>
  </si>
  <si>
    <t>8460/000</t>
  </si>
  <si>
    <t>FNB CFC BRITISH POUND</t>
  </si>
  <si>
    <t>9000/000</t>
  </si>
  <si>
    <t>Supplier Control Account</t>
  </si>
  <si>
    <t>9300/000</t>
  </si>
  <si>
    <t>Taxation Payable</t>
  </si>
  <si>
    <t>9500/000</t>
  </si>
  <si>
    <t>Vat / Tax Control Account</t>
  </si>
  <si>
    <t>STRATEGIC LOGISTICS:</t>
  </si>
  <si>
    <t>Total</t>
  </si>
  <si>
    <t>SARS REVENUE:</t>
  </si>
  <si>
    <t>STRATEGIC</t>
  </si>
  <si>
    <t>STD RATE (INC):</t>
  </si>
  <si>
    <t>ZERO RATE:</t>
  </si>
  <si>
    <t>MARCH</t>
  </si>
  <si>
    <t>APRIL</t>
  </si>
  <si>
    <t>MAR /APRIL</t>
  </si>
  <si>
    <t>MAY</t>
  </si>
  <si>
    <t>JUNE</t>
  </si>
  <si>
    <t>MAY/JUNE</t>
  </si>
  <si>
    <t>JULY</t>
  </si>
  <si>
    <t>AUGUST</t>
  </si>
  <si>
    <t>JULY/AUG</t>
  </si>
  <si>
    <t>SEPT</t>
  </si>
  <si>
    <t>OCT</t>
  </si>
  <si>
    <t>SEPT/OCT</t>
  </si>
  <si>
    <t>NOV</t>
  </si>
  <si>
    <t>DEC</t>
  </si>
  <si>
    <t>NOV/DEC</t>
  </si>
  <si>
    <t>JAN</t>
  </si>
  <si>
    <t>FEB</t>
  </si>
  <si>
    <t>JAN/FEB</t>
  </si>
  <si>
    <t>TOTAL:</t>
  </si>
  <si>
    <t>SALES (excl)</t>
  </si>
  <si>
    <t>ZERO RATED</t>
  </si>
  <si>
    <t>TOTAL SALES</t>
  </si>
  <si>
    <t>SUMMARY:</t>
  </si>
  <si>
    <t>SALES (EXCL)</t>
  </si>
  <si>
    <t>SALES</t>
  </si>
  <si>
    <t>PACKAGING COSTS RECOVERED</t>
  </si>
  <si>
    <t>ADMIN FEE - RECEIVED</t>
  </si>
  <si>
    <t>FREIGHT COSTS - RECEIVED</t>
  </si>
  <si>
    <t>COURIER &amp; POSTAGE RECOVERED</t>
  </si>
  <si>
    <t>REVENUE ADJUSTMENTS</t>
  </si>
  <si>
    <t>AJE's</t>
  </si>
  <si>
    <t>Manufacture costs</t>
  </si>
  <si>
    <t>Manufacture costs recovered</t>
  </si>
  <si>
    <t>Freight charges</t>
  </si>
  <si>
    <t>Freight charges recovered</t>
  </si>
  <si>
    <t xml:space="preserve">Creating recovery accounts and allocating recovery amounts </t>
  </si>
  <si>
    <t>COS</t>
  </si>
  <si>
    <t>Balancing VAT</t>
  </si>
  <si>
    <t>Loan Regima</t>
  </si>
  <si>
    <t>Re-allocate incorrect COS</t>
  </si>
  <si>
    <t>Interest for the year to RegimA</t>
  </si>
  <si>
    <t>Tax payable</t>
  </si>
  <si>
    <t>4800/000</t>
  </si>
  <si>
    <t>Provision for tax</t>
  </si>
  <si>
    <t>Provision for  tax for the year</t>
  </si>
  <si>
    <t>AJE'S</t>
  </si>
  <si>
    <t>FINAL TB</t>
  </si>
  <si>
    <t>Prov tax</t>
  </si>
  <si>
    <t>OPENING BALANCE ADJUSTMENTS</t>
  </si>
  <si>
    <t>Loan RST</t>
  </si>
  <si>
    <t>Dr</t>
  </si>
  <si>
    <t>Cr</t>
  </si>
  <si>
    <t>Transfer production costs</t>
  </si>
  <si>
    <t>Admin fees</t>
  </si>
  <si>
    <t>Reallocate production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</si>
</sst>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quotePrefix="1"/>
    <xf numFmtId="43" fontId="0" fillId="0" borderId="0" xfId="1" applyFont="1"/>
    <xf numFmtId="43" fontId="0" fillId="0" borderId="0" xfId="1" quotePrefix="1" applyFont="1"/>
    <xf numFmtId="0" fontId="3" fillId="0" borderId="0" xfId="0" applyFont="1"/>
    <xf numFmtId="0" fontId="0" fillId="0" borderId="1" xfId="0" applyBorder="1"/>
    <xf numFmtId="43" fontId="0" fillId="0" borderId="1" xfId="1" applyFont="1" applyBorder="1"/>
    <xf numFmtId="9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9" fontId="0" fillId="2" borderId="1" xfId="0" applyNumberFormat="1" applyFill="1" applyBorder="1"/>
    <xf numFmtId="43" fontId="0" fillId="2" borderId="1" xfId="1" applyFont="1" applyFill="1" applyBorder="1"/>
    <xf numFmtId="0" fontId="2" fillId="0" borderId="0" xfId="0" applyFont="1"/>
    <xf numFmtId="43" fontId="2" fillId="0" borderId="0" xfId="1" applyFont="1"/>
    <xf numFmtId="0" fontId="3" fillId="0" borderId="1" xfId="0" applyFont="1" applyBorder="1"/>
    <xf numFmtId="2" fontId="2" fillId="3" borderId="1" xfId="0" applyNumberFormat="1" applyFont="1" applyFill="1" applyBorder="1"/>
    <xf numFmtId="0" fontId="0" fillId="0" borderId="0" xfId="0" applyAlignment="1">
      <alignment horizontal="right"/>
    </xf>
    <xf numFmtId="2" fontId="0" fillId="0" borderId="0" xfId="0" applyNumberFormat="1"/>
    <xf numFmtId="43" fontId="0" fillId="5" borderId="0" xfId="1" applyFont="1" applyFill="1"/>
    <xf numFmtId="43" fontId="0" fillId="4" borderId="0" xfId="1" applyFont="1" applyFill="1"/>
    <xf numFmtId="164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7" fontId="0" fillId="0" borderId="0" xfId="0" applyNumberFormat="1"/>
    <xf numFmtId="43" fontId="0" fillId="6" borderId="0" xfId="1" applyFont="1" applyFill="1"/>
    <xf numFmtId="43" fontId="0" fillId="7" borderId="0" xfId="0" applyNumberFormat="1" applyFill="1"/>
    <xf numFmtId="43" fontId="2" fillId="0" borderId="2" xfId="1" applyFont="1" applyBorder="1"/>
    <xf numFmtId="43" fontId="2" fillId="0" borderId="3" xfId="1" applyFont="1" applyBorder="1"/>
    <xf numFmtId="43" fontId="2" fillId="5" borderId="3" xfId="1" applyFont="1" applyFill="1" applyBorder="1"/>
    <xf numFmtId="43" fontId="2" fillId="5" borderId="4" xfId="1" applyFont="1" applyFill="1" applyBorder="1"/>
    <xf numFmtId="43" fontId="2" fillId="0" borderId="2" xfId="1" quotePrefix="1" applyFont="1" applyBorder="1"/>
    <xf numFmtId="0" fontId="2" fillId="0" borderId="3" xfId="0" quotePrefix="1" applyFont="1" applyBorder="1"/>
    <xf numFmtId="43" fontId="2" fillId="0" borderId="3" xfId="1" quotePrefix="1" applyFont="1" applyBorder="1"/>
    <xf numFmtId="43" fontId="2" fillId="4" borderId="3" xfId="1" applyFont="1" applyFill="1" applyBorder="1" applyAlignment="1">
      <alignment wrapText="1"/>
    </xf>
    <xf numFmtId="43" fontId="2" fillId="6" borderId="3" xfId="1" applyFont="1" applyFill="1" applyBorder="1"/>
    <xf numFmtId="0" fontId="2" fillId="7" borderId="4" xfId="0" applyFont="1" applyFill="1" applyBorder="1"/>
    <xf numFmtId="43" fontId="0" fillId="0" borderId="0" xfId="0" applyNumberFormat="1"/>
    <xf numFmtId="43" fontId="0" fillId="8" borderId="0" xfId="1" applyFont="1" applyFill="1"/>
    <xf numFmtId="43" fontId="0" fillId="9" borderId="0" xfId="1" applyFont="1" applyFill="1" applyAlignment="1">
      <alignment horizontal="center" wrapText="1"/>
    </xf>
    <xf numFmtId="43" fontId="0" fillId="9" borderId="0" xfId="1" applyFont="1" applyFill="1"/>
  </cellXfs>
  <cellStyles count="3">
    <cellStyle name="Comma" xfId="1" builtinId="3"/>
    <cellStyle name="Comma 2" xfId="2" xr:uid="{6A6AFB12-8269-4F03-A5AF-0178DB6C1AC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BE9D-1243-4EF5-B0D9-06A870237A52}">
  <dimension ref="A1:Q55"/>
  <sheetViews>
    <sheetView tabSelected="1" topLeftCell="B1" workbookViewId="0">
      <selection activeCell="L5" sqref="L5:L10"/>
    </sheetView>
  </sheetViews>
  <sheetFormatPr defaultRowHeight="15" x14ac:dyDescent="0.25"/>
  <cols>
    <col min="1" max="1" width="20.42578125" style="2" customWidth="1"/>
    <col min="2" max="2" width="8.85546875" bestFit="1" customWidth="1"/>
    <col min="3" max="3" width="39.7109375" bestFit="1" customWidth="1"/>
    <col min="4" max="8" width="14" style="2" bestFit="1" customWidth="1"/>
    <col min="9" max="9" width="13.85546875" style="2" bestFit="1" customWidth="1"/>
    <col min="10" max="10" width="14.140625" style="2" bestFit="1" customWidth="1"/>
    <col min="11" max="11" width="11.42578125" style="2" bestFit="1" customWidth="1"/>
    <col min="12" max="12" width="14" bestFit="1" customWidth="1"/>
    <col min="13" max="13" width="11.42578125" bestFit="1" customWidth="1"/>
    <col min="16" max="17" width="11.42578125" style="2" bestFit="1" customWidth="1"/>
  </cols>
  <sheetData>
    <row r="1" spans="1:17" x14ac:dyDescent="0.25">
      <c r="A1" s="3" t="s">
        <v>98</v>
      </c>
    </row>
    <row r="2" spans="1:17" ht="15.75" thickBot="1" x14ac:dyDescent="0.3">
      <c r="A2" s="3" t="s">
        <v>0</v>
      </c>
    </row>
    <row r="3" spans="1:17" s="13" customFormat="1" ht="45.75" thickBot="1" x14ac:dyDescent="0.3">
      <c r="A3" s="31" t="s">
        <v>1</v>
      </c>
      <c r="B3" s="32" t="s">
        <v>2</v>
      </c>
      <c r="C3" s="32" t="s">
        <v>3</v>
      </c>
      <c r="D3" s="33" t="s">
        <v>4</v>
      </c>
      <c r="E3" s="33" t="s">
        <v>5</v>
      </c>
      <c r="F3" s="29" t="s">
        <v>99</v>
      </c>
      <c r="G3" s="2"/>
      <c r="H3" s="2"/>
      <c r="I3" s="39" t="s">
        <v>152</v>
      </c>
      <c r="J3" s="34" t="s">
        <v>133</v>
      </c>
      <c r="K3" s="35" t="s">
        <v>149</v>
      </c>
      <c r="L3" s="36" t="s">
        <v>150</v>
      </c>
      <c r="P3" s="14"/>
      <c r="Q3" s="14"/>
    </row>
    <row r="4" spans="1:17" x14ac:dyDescent="0.25">
      <c r="A4" s="2">
        <v>-14649816</v>
      </c>
      <c r="B4" s="1" t="s">
        <v>6</v>
      </c>
      <c r="C4" s="1" t="s">
        <v>7</v>
      </c>
      <c r="D4" s="3">
        <v>0</v>
      </c>
      <c r="E4" s="2">
        <v>14292118.529999999</v>
      </c>
      <c r="F4" s="19">
        <f>+D4-E4</f>
        <v>-14292118.529999999</v>
      </c>
      <c r="I4" s="40"/>
      <c r="J4" s="20">
        <f>-VAT!B28-VAT!B29-VAT!B30-VAT!B31</f>
        <v>-608168.23</v>
      </c>
      <c r="K4" s="25"/>
      <c r="L4" s="26">
        <f>+F4+J4+K4</f>
        <v>-14900286.76</v>
      </c>
    </row>
    <row r="5" spans="1:17" x14ac:dyDescent="0.25">
      <c r="A5" s="2">
        <v>13993637.140000001</v>
      </c>
      <c r="B5" s="1" t="s">
        <v>8</v>
      </c>
      <c r="C5" s="1" t="s">
        <v>9</v>
      </c>
      <c r="D5" s="2">
        <v>13246600.619999999</v>
      </c>
      <c r="E5" s="2">
        <v>0</v>
      </c>
      <c r="F5" s="19">
        <f t="shared" ref="F5:F52" si="0">+D5-E5</f>
        <v>13246600.619999999</v>
      </c>
      <c r="I5" s="40"/>
      <c r="J5" s="20"/>
      <c r="K5" s="25">
        <f>+AJEs!D26+AJEs!D30</f>
        <v>332041.73</v>
      </c>
      <c r="L5" s="26">
        <f t="shared" ref="L5:L53" si="1">+F5+J5+K5</f>
        <v>13578642.35</v>
      </c>
    </row>
    <row r="6" spans="1:17" x14ac:dyDescent="0.25">
      <c r="A6" s="2">
        <v>-164089.39619999999</v>
      </c>
      <c r="B6" s="1" t="s">
        <v>10</v>
      </c>
      <c r="C6" s="1" t="s">
        <v>11</v>
      </c>
      <c r="D6" s="3">
        <v>0</v>
      </c>
      <c r="E6" s="2">
        <v>48423.235699999997</v>
      </c>
      <c r="F6" s="19">
        <f t="shared" si="0"/>
        <v>-48423.235699999997</v>
      </c>
      <c r="I6" s="40"/>
      <c r="J6" s="20"/>
      <c r="K6" s="25"/>
      <c r="L6" s="26">
        <f t="shared" si="1"/>
        <v>-48423.235699999997</v>
      </c>
    </row>
    <row r="7" spans="1:17" x14ac:dyDescent="0.25">
      <c r="A7" s="3" t="s">
        <v>3</v>
      </c>
      <c r="B7" s="1" t="s">
        <v>12</v>
      </c>
      <c r="C7" s="1" t="s">
        <v>13</v>
      </c>
      <c r="D7" s="3">
        <v>0</v>
      </c>
      <c r="E7" s="2">
        <v>0</v>
      </c>
      <c r="F7" s="19">
        <f t="shared" si="0"/>
        <v>0</v>
      </c>
      <c r="I7" s="40"/>
      <c r="J7" s="20"/>
      <c r="K7" s="25"/>
      <c r="L7" s="26">
        <f t="shared" si="1"/>
        <v>0</v>
      </c>
    </row>
    <row r="8" spans="1:17" x14ac:dyDescent="0.25">
      <c r="A8" s="2">
        <v>67150.960000000006</v>
      </c>
      <c r="B8" s="1" t="s">
        <v>14</v>
      </c>
      <c r="C8" s="1" t="s">
        <v>15</v>
      </c>
      <c r="D8" s="2">
        <v>41495.07</v>
      </c>
      <c r="E8" s="2">
        <v>0</v>
      </c>
      <c r="F8" s="19">
        <f t="shared" si="0"/>
        <v>41495.07</v>
      </c>
      <c r="I8" s="40"/>
      <c r="J8" s="20"/>
      <c r="K8" s="25"/>
      <c r="L8" s="26">
        <f t="shared" si="1"/>
        <v>41495.07</v>
      </c>
    </row>
    <row r="9" spans="1:17" x14ac:dyDescent="0.25">
      <c r="A9" s="2">
        <v>-59270.39</v>
      </c>
      <c r="B9" s="1" t="s">
        <v>16</v>
      </c>
      <c r="C9" s="1" t="s">
        <v>17</v>
      </c>
      <c r="D9" s="3">
        <v>0</v>
      </c>
      <c r="E9" s="2">
        <v>36553.040000000001</v>
      </c>
      <c r="F9" s="19">
        <f t="shared" si="0"/>
        <v>-36553.040000000001</v>
      </c>
      <c r="I9" s="40"/>
      <c r="J9" s="20">
        <f>+VAT!B28</f>
        <v>36553.040000000001</v>
      </c>
      <c r="K9" s="25"/>
      <c r="L9" s="26">
        <f t="shared" si="1"/>
        <v>0</v>
      </c>
    </row>
    <row r="10" spans="1:17" x14ac:dyDescent="0.25">
      <c r="A10" s="2">
        <v>-183382.39</v>
      </c>
      <c r="B10" s="1" t="s">
        <v>18</v>
      </c>
      <c r="C10" s="1" t="s">
        <v>19</v>
      </c>
      <c r="D10" s="3">
        <v>0</v>
      </c>
      <c r="E10" s="2">
        <v>239285.48</v>
      </c>
      <c r="F10" s="19">
        <f t="shared" si="0"/>
        <v>-239285.48</v>
      </c>
      <c r="I10" s="40"/>
      <c r="J10" s="20"/>
      <c r="K10" s="25"/>
      <c r="L10" s="26">
        <f t="shared" si="1"/>
        <v>-239285.48</v>
      </c>
    </row>
    <row r="11" spans="1:17" x14ac:dyDescent="0.25">
      <c r="A11" s="2">
        <v>-471525.56</v>
      </c>
      <c r="B11" s="1" t="s">
        <v>20</v>
      </c>
      <c r="C11" s="1" t="s">
        <v>21</v>
      </c>
      <c r="D11" s="3">
        <v>0</v>
      </c>
      <c r="E11" s="2">
        <v>411318.43</v>
      </c>
      <c r="F11" s="19">
        <f t="shared" si="0"/>
        <v>-411318.43</v>
      </c>
      <c r="I11" s="40"/>
      <c r="J11" s="20">
        <f>+VAT!B29</f>
        <v>411318.43</v>
      </c>
      <c r="K11" s="25"/>
      <c r="L11" s="26">
        <f t="shared" si="1"/>
        <v>0</v>
      </c>
    </row>
    <row r="12" spans="1:17" x14ac:dyDescent="0.25">
      <c r="A12" s="2">
        <v>0</v>
      </c>
      <c r="B12" s="1" t="s">
        <v>22</v>
      </c>
      <c r="C12" s="1" t="s">
        <v>23</v>
      </c>
      <c r="D12" s="3">
        <v>0</v>
      </c>
      <c r="E12" s="2">
        <v>160083.04</v>
      </c>
      <c r="F12" s="19">
        <f t="shared" si="0"/>
        <v>-160083.04</v>
      </c>
      <c r="I12" s="40"/>
      <c r="J12" s="20">
        <f>+VAT!B30</f>
        <v>160083.04</v>
      </c>
      <c r="K12" s="25"/>
      <c r="L12" s="26">
        <f t="shared" si="1"/>
        <v>0</v>
      </c>
    </row>
    <row r="13" spans="1:17" x14ac:dyDescent="0.25">
      <c r="A13" s="2">
        <v>-26509.06</v>
      </c>
      <c r="B13" s="1" t="s">
        <v>24</v>
      </c>
      <c r="C13" s="1" t="s">
        <v>25</v>
      </c>
      <c r="D13" s="3">
        <v>0</v>
      </c>
      <c r="E13" s="2">
        <v>34844.78</v>
      </c>
      <c r="F13" s="19">
        <f t="shared" si="0"/>
        <v>-34844.78</v>
      </c>
      <c r="I13" s="40"/>
      <c r="J13" s="20"/>
      <c r="K13" s="25"/>
      <c r="L13" s="26">
        <f t="shared" si="1"/>
        <v>-34844.78</v>
      </c>
    </row>
    <row r="14" spans="1:17" x14ac:dyDescent="0.25">
      <c r="A14" s="2">
        <v>135405.75</v>
      </c>
      <c r="B14" s="1" t="s">
        <v>26</v>
      </c>
      <c r="C14" s="1" t="s">
        <v>27</v>
      </c>
      <c r="D14" s="2">
        <v>252041.73</v>
      </c>
      <c r="E14" s="2">
        <v>0</v>
      </c>
      <c r="F14" s="19">
        <f t="shared" si="0"/>
        <v>252041.73</v>
      </c>
      <c r="I14" s="40"/>
      <c r="J14" s="20"/>
      <c r="K14" s="25">
        <f>+AJEs!D31</f>
        <v>-252041.73</v>
      </c>
      <c r="L14" s="26">
        <f t="shared" si="1"/>
        <v>0</v>
      </c>
    </row>
    <row r="15" spans="1:17" x14ac:dyDescent="0.25">
      <c r="A15" s="2">
        <v>675</v>
      </c>
      <c r="B15" s="1" t="s">
        <v>28</v>
      </c>
      <c r="C15" s="1" t="s">
        <v>29</v>
      </c>
      <c r="D15" s="2">
        <v>775</v>
      </c>
      <c r="E15" s="2">
        <v>0</v>
      </c>
      <c r="F15" s="19">
        <f t="shared" si="0"/>
        <v>775</v>
      </c>
      <c r="I15" s="40"/>
      <c r="J15" s="20"/>
      <c r="K15" s="25"/>
      <c r="L15" s="26">
        <f t="shared" si="1"/>
        <v>775</v>
      </c>
    </row>
    <row r="16" spans="1:17" x14ac:dyDescent="0.25">
      <c r="A16" s="2">
        <v>3447.81</v>
      </c>
      <c r="B16" s="1" t="s">
        <v>30</v>
      </c>
      <c r="C16" s="1" t="s">
        <v>31</v>
      </c>
      <c r="D16" s="2">
        <v>3187.95</v>
      </c>
      <c r="E16" s="2">
        <v>0</v>
      </c>
      <c r="F16" s="19">
        <f t="shared" si="0"/>
        <v>3187.95</v>
      </c>
      <c r="I16" s="40"/>
      <c r="J16" s="20"/>
      <c r="K16" s="25"/>
      <c r="L16" s="26">
        <f t="shared" si="1"/>
        <v>3187.95</v>
      </c>
    </row>
    <row r="17" spans="1:17" x14ac:dyDescent="0.25">
      <c r="A17" s="2">
        <v>45907.14</v>
      </c>
      <c r="B17" s="1" t="s">
        <v>32</v>
      </c>
      <c r="C17" s="1" t="s">
        <v>33</v>
      </c>
      <c r="D17" s="2">
        <v>44724.18</v>
      </c>
      <c r="E17" s="2">
        <v>0</v>
      </c>
      <c r="F17" s="19">
        <f t="shared" si="0"/>
        <v>44724.18</v>
      </c>
      <c r="I17" s="40"/>
      <c r="J17" s="20"/>
      <c r="K17" s="25"/>
      <c r="L17" s="26">
        <f t="shared" si="1"/>
        <v>44724.18</v>
      </c>
    </row>
    <row r="18" spans="1:17" x14ac:dyDescent="0.25">
      <c r="A18" s="3" t="s">
        <v>3</v>
      </c>
      <c r="B18" s="1" t="s">
        <v>34</v>
      </c>
      <c r="C18" s="1" t="s">
        <v>35</v>
      </c>
      <c r="D18" s="3">
        <v>0</v>
      </c>
      <c r="E18" s="2">
        <v>0</v>
      </c>
      <c r="F18" s="19">
        <f t="shared" si="0"/>
        <v>0</v>
      </c>
      <c r="I18" s="40"/>
      <c r="J18" s="20"/>
      <c r="K18" s="25"/>
      <c r="L18" s="26">
        <f t="shared" si="1"/>
        <v>0</v>
      </c>
    </row>
    <row r="19" spans="1:17" x14ac:dyDescent="0.25">
      <c r="A19" s="2">
        <v>0</v>
      </c>
      <c r="B19" s="1" t="s">
        <v>36</v>
      </c>
      <c r="C19" s="1" t="s">
        <v>37</v>
      </c>
      <c r="D19" s="3">
        <v>0</v>
      </c>
      <c r="E19" s="2">
        <v>213.72</v>
      </c>
      <c r="F19" s="19">
        <f t="shared" si="0"/>
        <v>-213.72</v>
      </c>
      <c r="I19" s="40"/>
      <c r="J19" s="20">
        <f>+VAT!B31</f>
        <v>213.72</v>
      </c>
      <c r="K19" s="25"/>
      <c r="L19" s="26">
        <f t="shared" si="1"/>
        <v>0</v>
      </c>
    </row>
    <row r="20" spans="1:17" x14ac:dyDescent="0.25">
      <c r="A20" s="3" t="s">
        <v>3</v>
      </c>
      <c r="B20" s="1" t="s">
        <v>38</v>
      </c>
      <c r="C20" s="1" t="s">
        <v>39</v>
      </c>
      <c r="D20" s="3">
        <v>0</v>
      </c>
      <c r="E20" s="2">
        <v>0</v>
      </c>
      <c r="F20" s="19">
        <f t="shared" si="0"/>
        <v>0</v>
      </c>
      <c r="I20" s="40"/>
      <c r="J20" s="20"/>
      <c r="K20" s="25"/>
      <c r="L20" s="26">
        <f t="shared" si="1"/>
        <v>0</v>
      </c>
    </row>
    <row r="21" spans="1:17" x14ac:dyDescent="0.25">
      <c r="A21" s="2">
        <v>6133.66</v>
      </c>
      <c r="B21" s="1" t="s">
        <v>40</v>
      </c>
      <c r="C21" s="1" t="s">
        <v>39</v>
      </c>
      <c r="D21" s="2">
        <v>159249.54999999999</v>
      </c>
      <c r="E21" s="2">
        <v>0</v>
      </c>
      <c r="F21" s="19">
        <f t="shared" si="0"/>
        <v>159249.54999999999</v>
      </c>
      <c r="I21" s="40"/>
      <c r="J21" s="20"/>
      <c r="K21" s="25"/>
      <c r="L21" s="26">
        <f t="shared" si="1"/>
        <v>159249.54999999999</v>
      </c>
    </row>
    <row r="22" spans="1:17" x14ac:dyDescent="0.25">
      <c r="A22" s="2">
        <v>-1348.56</v>
      </c>
      <c r="B22" s="1" t="s">
        <v>41</v>
      </c>
      <c r="C22" s="1" t="s">
        <v>42</v>
      </c>
      <c r="D22" s="3">
        <v>0</v>
      </c>
      <c r="E22" s="2">
        <v>0</v>
      </c>
      <c r="F22" s="19">
        <f t="shared" si="0"/>
        <v>0</v>
      </c>
      <c r="I22" s="40"/>
      <c r="J22" s="20"/>
      <c r="K22" s="25"/>
      <c r="L22" s="26">
        <f t="shared" si="1"/>
        <v>0</v>
      </c>
    </row>
    <row r="23" spans="1:17" x14ac:dyDescent="0.25">
      <c r="A23" s="3" t="s">
        <v>3</v>
      </c>
      <c r="B23" s="1" t="s">
        <v>43</v>
      </c>
      <c r="C23" s="1" t="s">
        <v>44</v>
      </c>
      <c r="D23" s="3">
        <v>0</v>
      </c>
      <c r="E23" s="2">
        <v>0</v>
      </c>
      <c r="F23" s="19">
        <f t="shared" si="0"/>
        <v>0</v>
      </c>
      <c r="I23" s="40"/>
      <c r="J23" s="20"/>
      <c r="K23" s="25"/>
      <c r="L23" s="26">
        <f t="shared" si="1"/>
        <v>0</v>
      </c>
    </row>
    <row r="24" spans="1:17" x14ac:dyDescent="0.25">
      <c r="A24" s="2">
        <v>9080.3700000000008</v>
      </c>
      <c r="B24" s="1" t="s">
        <v>45</v>
      </c>
      <c r="C24" s="1" t="s">
        <v>46</v>
      </c>
      <c r="D24" s="2">
        <v>10280.530000000001</v>
      </c>
      <c r="E24" s="2">
        <v>0</v>
      </c>
      <c r="F24" s="19">
        <f t="shared" si="0"/>
        <v>10280.530000000001</v>
      </c>
      <c r="I24" s="40"/>
      <c r="J24" s="20"/>
      <c r="K24" s="25"/>
      <c r="L24" s="26">
        <f t="shared" si="1"/>
        <v>10280.530000000001</v>
      </c>
    </row>
    <row r="25" spans="1:17" x14ac:dyDescent="0.25">
      <c r="A25" s="2">
        <v>37606.959999999999</v>
      </c>
      <c r="B25" s="1" t="s">
        <v>47</v>
      </c>
      <c r="C25" s="1" t="s">
        <v>48</v>
      </c>
      <c r="D25" s="3">
        <v>0</v>
      </c>
      <c r="E25" s="2">
        <v>0</v>
      </c>
      <c r="F25" s="19">
        <f t="shared" si="0"/>
        <v>0</v>
      </c>
      <c r="I25" s="40"/>
      <c r="J25" s="20"/>
      <c r="K25" s="25">
        <f>+AJEs!D18</f>
        <v>414334.09017331153</v>
      </c>
      <c r="L25" s="26">
        <f t="shared" si="1"/>
        <v>414334.09017331153</v>
      </c>
    </row>
    <row r="26" spans="1:17" x14ac:dyDescent="0.25">
      <c r="A26" s="2">
        <v>450</v>
      </c>
      <c r="B26" s="1" t="s">
        <v>49</v>
      </c>
      <c r="C26" s="1" t="s">
        <v>50</v>
      </c>
      <c r="D26" s="2">
        <v>8360</v>
      </c>
      <c r="E26" s="2">
        <v>0</v>
      </c>
      <c r="F26" s="19">
        <f t="shared" si="0"/>
        <v>8360</v>
      </c>
      <c r="I26" s="40"/>
      <c r="J26" s="20"/>
      <c r="K26" s="25"/>
      <c r="L26" s="26">
        <f t="shared" si="1"/>
        <v>8360</v>
      </c>
    </row>
    <row r="27" spans="1:17" x14ac:dyDescent="0.25">
      <c r="A27" s="2">
        <v>52000</v>
      </c>
      <c r="B27" s="1" t="s">
        <v>51</v>
      </c>
      <c r="C27" s="1" t="s">
        <v>52</v>
      </c>
      <c r="D27" s="2">
        <v>48000</v>
      </c>
      <c r="E27" s="2">
        <v>0</v>
      </c>
      <c r="F27" s="19">
        <f t="shared" si="0"/>
        <v>48000</v>
      </c>
      <c r="I27" s="40"/>
      <c r="J27" s="20"/>
      <c r="K27" s="25"/>
      <c r="L27" s="26">
        <f t="shared" si="1"/>
        <v>48000</v>
      </c>
      <c r="M27" s="37">
        <f>SUM(L4:L27)</f>
        <v>-913791.53552668868</v>
      </c>
      <c r="O27" t="s">
        <v>151</v>
      </c>
      <c r="P27" s="2">
        <v>253665</v>
      </c>
      <c r="Q27" s="2">
        <f>+P27/0.28</f>
        <v>905946.42857142852</v>
      </c>
    </row>
    <row r="28" spans="1:17" x14ac:dyDescent="0.25">
      <c r="A28" s="2">
        <v>-1204446.5662</v>
      </c>
      <c r="B28" s="1" t="s">
        <v>3</v>
      </c>
      <c r="C28" s="1" t="s">
        <v>53</v>
      </c>
      <c r="D28" s="2">
        <v>1408125.6257</v>
      </c>
      <c r="E28" s="2">
        <v>0</v>
      </c>
      <c r="F28" s="19">
        <f t="shared" si="0"/>
        <v>1408125.6257</v>
      </c>
      <c r="I28" s="40"/>
      <c r="J28" s="20"/>
      <c r="K28" s="25"/>
      <c r="L28" s="26"/>
      <c r="Q28" s="2">
        <f>+Q27+M27</f>
        <v>-7845.1069552601548</v>
      </c>
    </row>
    <row r="29" spans="1:17" x14ac:dyDescent="0.25">
      <c r="A29" s="2">
        <v>0</v>
      </c>
      <c r="B29" s="1" t="s">
        <v>3</v>
      </c>
      <c r="C29" s="1" t="s">
        <v>3</v>
      </c>
      <c r="D29" s="2">
        <v>15222840.2557</v>
      </c>
      <c r="E29" s="2">
        <v>15222840.2557</v>
      </c>
      <c r="F29" s="19">
        <f t="shared" si="0"/>
        <v>0</v>
      </c>
      <c r="I29" s="40"/>
      <c r="J29" s="20"/>
      <c r="K29" s="25"/>
      <c r="L29" s="26"/>
    </row>
    <row r="30" spans="1:17" x14ac:dyDescent="0.25">
      <c r="A30" s="2">
        <v>-1204446.5662</v>
      </c>
      <c r="B30" s="1" t="s">
        <v>3</v>
      </c>
      <c r="C30" s="1" t="s">
        <v>53</v>
      </c>
      <c r="D30" s="3">
        <v>0</v>
      </c>
      <c r="E30" s="2">
        <v>1408125.6257</v>
      </c>
      <c r="F30" s="19">
        <f t="shared" si="0"/>
        <v>-1408125.6257</v>
      </c>
      <c r="I30" s="40"/>
      <c r="J30" s="20"/>
      <c r="K30" s="25"/>
      <c r="L30" s="26"/>
    </row>
    <row r="31" spans="1:17" x14ac:dyDescent="0.25">
      <c r="A31" s="2">
        <v>-100</v>
      </c>
      <c r="B31" s="1" t="s">
        <v>54</v>
      </c>
      <c r="C31" s="1" t="s">
        <v>55</v>
      </c>
      <c r="D31" s="3">
        <v>0</v>
      </c>
      <c r="E31" s="2">
        <v>100</v>
      </c>
      <c r="F31" s="19">
        <f t="shared" si="0"/>
        <v>-100</v>
      </c>
      <c r="G31" s="2">
        <f>+A31</f>
        <v>-100</v>
      </c>
      <c r="H31" s="2">
        <v>-100</v>
      </c>
      <c r="I31" s="40">
        <f>+G31-H31</f>
        <v>0</v>
      </c>
      <c r="J31" s="20"/>
      <c r="K31" s="25"/>
      <c r="L31" s="26">
        <f>+F31+J31+K31+I31</f>
        <v>-100</v>
      </c>
    </row>
    <row r="32" spans="1:17" x14ac:dyDescent="0.25">
      <c r="A32" s="2">
        <v>1439856.4894999999</v>
      </c>
      <c r="B32" s="1" t="s">
        <v>56</v>
      </c>
      <c r="C32" s="1" t="s">
        <v>57</v>
      </c>
      <c r="D32" s="2">
        <v>235409.91949999999</v>
      </c>
      <c r="E32" s="2">
        <v>0</v>
      </c>
      <c r="F32" s="19">
        <f t="shared" si="0"/>
        <v>235409.91949999999</v>
      </c>
      <c r="G32" s="2">
        <v>235409.92000000001</v>
      </c>
      <c r="H32" s="2">
        <v>1422280</v>
      </c>
      <c r="I32" s="40">
        <f>+H32-G32+1.71</f>
        <v>1186871.79</v>
      </c>
      <c r="J32" s="20"/>
      <c r="K32" s="25"/>
      <c r="L32" s="26">
        <f t="shared" ref="L32:L52" si="2">+F32+J32+K32+I32</f>
        <v>1422281.7095000001</v>
      </c>
    </row>
    <row r="33" spans="1:13" x14ac:dyDescent="0.25">
      <c r="A33" s="38">
        <v>-4940.45</v>
      </c>
      <c r="B33" s="1" t="s">
        <v>58</v>
      </c>
      <c r="C33" s="1" t="s">
        <v>59</v>
      </c>
      <c r="D33" s="3">
        <v>0</v>
      </c>
      <c r="E33" s="2">
        <v>4940.45</v>
      </c>
      <c r="F33" s="19">
        <f t="shared" si="0"/>
        <v>-4940.45</v>
      </c>
      <c r="G33" s="2">
        <f t="shared" ref="G33:G52" si="3">+A33</f>
        <v>-4940.45</v>
      </c>
      <c r="H33" s="2">
        <v>-4940.45</v>
      </c>
      <c r="I33" s="40">
        <f t="shared" ref="I33:I51" si="4">+H33-G33</f>
        <v>0</v>
      </c>
      <c r="J33" s="20"/>
      <c r="K33" s="25"/>
      <c r="L33" s="26">
        <f t="shared" si="2"/>
        <v>-4940.45</v>
      </c>
    </row>
    <row r="34" spans="1:13" x14ac:dyDescent="0.25">
      <c r="A34" s="2">
        <v>-11267043.390000001</v>
      </c>
      <c r="B34" s="1" t="s">
        <v>60</v>
      </c>
      <c r="C34" s="1" t="s">
        <v>61</v>
      </c>
      <c r="D34" s="3">
        <v>0</v>
      </c>
      <c r="E34" s="2">
        <v>11473568.43</v>
      </c>
      <c r="F34" s="19">
        <f t="shared" si="0"/>
        <v>-11473568.43</v>
      </c>
      <c r="G34" s="2">
        <f t="shared" si="3"/>
        <v>-11267043.390000001</v>
      </c>
      <c r="H34" s="2">
        <v>-13520531</v>
      </c>
      <c r="I34" s="40">
        <f>+H34-G34-G35</f>
        <v>-1003487.6099999994</v>
      </c>
      <c r="J34" s="20"/>
      <c r="K34" s="25">
        <f>+AJEs!D19+AJEs!D27</f>
        <v>-494334.09017331153</v>
      </c>
      <c r="L34" s="26">
        <f t="shared" si="2"/>
        <v>-12971390.130173311</v>
      </c>
    </row>
    <row r="35" spans="1:13" x14ac:dyDescent="0.25">
      <c r="A35" s="2">
        <v>-1250000</v>
      </c>
      <c r="B35" s="1" t="s">
        <v>62</v>
      </c>
      <c r="C35" s="1" t="s">
        <v>63</v>
      </c>
      <c r="D35" s="3">
        <v>0</v>
      </c>
      <c r="E35" s="2">
        <v>400000</v>
      </c>
      <c r="F35" s="19">
        <f t="shared" si="0"/>
        <v>-400000</v>
      </c>
      <c r="G35" s="2">
        <f t="shared" si="3"/>
        <v>-1250000</v>
      </c>
      <c r="I35" s="40"/>
      <c r="J35" s="20"/>
      <c r="K35" s="25"/>
      <c r="L35" s="26">
        <f t="shared" si="2"/>
        <v>-400000</v>
      </c>
    </row>
    <row r="36" spans="1:13" x14ac:dyDescent="0.25">
      <c r="A36" s="38">
        <v>3112.1021000000001</v>
      </c>
      <c r="B36" s="1" t="s">
        <v>64</v>
      </c>
      <c r="C36" s="1" t="s">
        <v>65</v>
      </c>
      <c r="D36" s="2">
        <v>9114.1509000000005</v>
      </c>
      <c r="E36" s="2">
        <v>0</v>
      </c>
      <c r="F36" s="19">
        <f t="shared" si="0"/>
        <v>9114.1509000000005</v>
      </c>
      <c r="G36" s="2">
        <f t="shared" si="3"/>
        <v>3112.1021000000001</v>
      </c>
      <c r="I36" s="40"/>
      <c r="J36" s="20"/>
      <c r="K36" s="25"/>
      <c r="L36" s="26">
        <f t="shared" si="2"/>
        <v>9114.1509000000005</v>
      </c>
    </row>
    <row r="37" spans="1:13" x14ac:dyDescent="0.25">
      <c r="A37" s="38">
        <v>1516479.4850000001</v>
      </c>
      <c r="B37" s="1" t="s">
        <v>66</v>
      </c>
      <c r="C37" s="1" t="s">
        <v>67</v>
      </c>
      <c r="D37" s="2">
        <v>1417529.9069000001</v>
      </c>
      <c r="E37" s="2">
        <v>0</v>
      </c>
      <c r="F37" s="19">
        <f t="shared" si="0"/>
        <v>1417529.9069000001</v>
      </c>
      <c r="G37" s="2">
        <f t="shared" si="3"/>
        <v>1516479.4850000001</v>
      </c>
      <c r="I37" s="40"/>
      <c r="J37" s="20"/>
      <c r="K37" s="25"/>
      <c r="L37" s="26">
        <f t="shared" si="2"/>
        <v>1417529.9069000001</v>
      </c>
    </row>
    <row r="38" spans="1:13" x14ac:dyDescent="0.25">
      <c r="A38" s="38">
        <v>270837.33610000001</v>
      </c>
      <c r="B38" s="1" t="s">
        <v>68</v>
      </c>
      <c r="C38" s="1" t="s">
        <v>69</v>
      </c>
      <c r="D38" s="2">
        <v>272348.60489999998</v>
      </c>
      <c r="E38" s="2">
        <v>0</v>
      </c>
      <c r="F38" s="19">
        <f t="shared" si="0"/>
        <v>272348.60489999998</v>
      </c>
      <c r="G38" s="2">
        <f t="shared" si="3"/>
        <v>270837.33610000001</v>
      </c>
      <c r="I38" s="40"/>
      <c r="J38" s="20"/>
      <c r="K38" s="25"/>
      <c r="L38" s="26">
        <f t="shared" si="2"/>
        <v>272348.60489999998</v>
      </c>
    </row>
    <row r="39" spans="1:13" x14ac:dyDescent="0.25">
      <c r="A39" s="38">
        <v>215169.6692</v>
      </c>
      <c r="B39" s="1" t="s">
        <v>70</v>
      </c>
      <c r="C39" s="1" t="s">
        <v>71</v>
      </c>
      <c r="D39" s="2">
        <v>216200.07339999999</v>
      </c>
      <c r="E39" s="2">
        <v>0</v>
      </c>
      <c r="F39" s="19">
        <f t="shared" si="0"/>
        <v>216200.07339999999</v>
      </c>
      <c r="G39" s="2">
        <f t="shared" si="3"/>
        <v>215169.6692</v>
      </c>
      <c r="I39" s="40"/>
      <c r="J39" s="20"/>
      <c r="K39" s="25"/>
      <c r="L39" s="26">
        <f t="shared" si="2"/>
        <v>216200.07339999999</v>
      </c>
    </row>
    <row r="40" spans="1:13" x14ac:dyDescent="0.25">
      <c r="A40" s="38">
        <v>4274946.9181000004</v>
      </c>
      <c r="B40" s="1" t="s">
        <v>72</v>
      </c>
      <c r="C40" s="1" t="s">
        <v>73</v>
      </c>
      <c r="D40" s="2">
        <v>3850049.0093</v>
      </c>
      <c r="E40" s="2">
        <v>0</v>
      </c>
      <c r="F40" s="19">
        <f t="shared" si="0"/>
        <v>3850049.0093</v>
      </c>
      <c r="G40" s="2">
        <f t="shared" si="3"/>
        <v>4274946.9181000004</v>
      </c>
      <c r="I40" s="40"/>
      <c r="J40" s="20"/>
      <c r="K40" s="25"/>
      <c r="L40" s="26">
        <f t="shared" si="2"/>
        <v>3850049.0093</v>
      </c>
    </row>
    <row r="41" spans="1:13" x14ac:dyDescent="0.25">
      <c r="A41" s="38">
        <v>934840.08459999994</v>
      </c>
      <c r="B41" s="1" t="s">
        <v>74</v>
      </c>
      <c r="C41" s="1" t="s">
        <v>75</v>
      </c>
      <c r="D41" s="2">
        <v>693510.89419999998</v>
      </c>
      <c r="E41" s="2">
        <v>0</v>
      </c>
      <c r="F41" s="19">
        <f t="shared" si="0"/>
        <v>693510.89419999998</v>
      </c>
      <c r="G41" s="2">
        <f t="shared" si="3"/>
        <v>934840.08459999994</v>
      </c>
      <c r="I41" s="40"/>
      <c r="J41" s="20"/>
      <c r="K41" s="25"/>
      <c r="L41" s="26">
        <f t="shared" si="2"/>
        <v>693510.89419999998</v>
      </c>
    </row>
    <row r="42" spans="1:13" x14ac:dyDescent="0.25">
      <c r="A42" s="38">
        <v>1015692.5915</v>
      </c>
      <c r="B42" s="1" t="s">
        <v>76</v>
      </c>
      <c r="C42" s="1" t="s">
        <v>77</v>
      </c>
      <c r="D42" s="2">
        <v>898930.1727</v>
      </c>
      <c r="E42" s="2">
        <v>0</v>
      </c>
      <c r="F42" s="19">
        <f t="shared" si="0"/>
        <v>898930.1727</v>
      </c>
      <c r="G42" s="2">
        <f t="shared" si="3"/>
        <v>1015692.5915</v>
      </c>
      <c r="H42" s="2">
        <v>8231078</v>
      </c>
      <c r="I42" s="40"/>
      <c r="J42" s="20"/>
      <c r="K42" s="25"/>
      <c r="L42" s="26">
        <f t="shared" si="2"/>
        <v>898930.1727</v>
      </c>
    </row>
    <row r="43" spans="1:13" x14ac:dyDescent="0.25">
      <c r="A43" s="2">
        <v>5497246.9500000002</v>
      </c>
      <c r="B43" s="1" t="s">
        <v>78</v>
      </c>
      <c r="C43" s="1" t="s">
        <v>79</v>
      </c>
      <c r="D43" s="2">
        <v>4054342.82</v>
      </c>
      <c r="E43" s="2">
        <v>0</v>
      </c>
      <c r="F43" s="19">
        <f t="shared" si="0"/>
        <v>4054342.82</v>
      </c>
      <c r="G43" s="2">
        <f t="shared" si="3"/>
        <v>5497246.9500000002</v>
      </c>
      <c r="H43" s="2">
        <v>5316622</v>
      </c>
      <c r="I43" s="40">
        <f>+H43-G43</f>
        <v>-180624.95000000019</v>
      </c>
      <c r="J43" s="20"/>
      <c r="K43" s="25"/>
      <c r="L43" s="26">
        <f t="shared" si="2"/>
        <v>3873717.8699999996</v>
      </c>
    </row>
    <row r="44" spans="1:13" x14ac:dyDescent="0.25">
      <c r="A44" s="2">
        <v>138164.51</v>
      </c>
      <c r="B44" s="1" t="s">
        <v>80</v>
      </c>
      <c r="C44" s="1" t="s">
        <v>81</v>
      </c>
      <c r="D44" s="2">
        <v>82347.23</v>
      </c>
      <c r="E44" s="2">
        <v>0</v>
      </c>
      <c r="F44" s="19">
        <f t="shared" si="0"/>
        <v>82347.23</v>
      </c>
      <c r="G44" s="2">
        <f t="shared" si="3"/>
        <v>138164.51</v>
      </c>
      <c r="I44" s="40"/>
      <c r="J44" s="20"/>
      <c r="K44" s="25"/>
      <c r="L44" s="26">
        <f t="shared" si="2"/>
        <v>82347.23</v>
      </c>
    </row>
    <row r="45" spans="1:13" x14ac:dyDescent="0.25">
      <c r="A45" s="2">
        <v>780.1</v>
      </c>
      <c r="B45" s="1" t="s">
        <v>82</v>
      </c>
      <c r="C45" s="1" t="s">
        <v>83</v>
      </c>
      <c r="D45" s="2">
        <v>780.1</v>
      </c>
      <c r="E45" s="2">
        <v>0</v>
      </c>
      <c r="F45" s="19">
        <f t="shared" si="0"/>
        <v>780.1</v>
      </c>
      <c r="G45" s="2">
        <f t="shared" si="3"/>
        <v>780.1</v>
      </c>
      <c r="I45" s="40"/>
      <c r="J45" s="20"/>
      <c r="K45" s="25"/>
      <c r="L45" s="26">
        <f t="shared" si="2"/>
        <v>780.1</v>
      </c>
    </row>
    <row r="46" spans="1:13" x14ac:dyDescent="0.25">
      <c r="A46" s="2">
        <v>783702.27</v>
      </c>
      <c r="B46" s="1" t="s">
        <v>84</v>
      </c>
      <c r="C46" s="1" t="s">
        <v>85</v>
      </c>
      <c r="D46" s="2">
        <v>450264.83</v>
      </c>
      <c r="E46" s="2">
        <v>0</v>
      </c>
      <c r="F46" s="19">
        <f t="shared" si="0"/>
        <v>450264.83</v>
      </c>
      <c r="G46" s="2">
        <f t="shared" si="3"/>
        <v>783702.27</v>
      </c>
      <c r="I46" s="40"/>
      <c r="J46" s="20"/>
      <c r="K46" s="25"/>
      <c r="L46" s="26">
        <f t="shared" si="2"/>
        <v>450264.83</v>
      </c>
    </row>
    <row r="47" spans="1:13" x14ac:dyDescent="0.25">
      <c r="A47" s="2">
        <v>574576.18000000005</v>
      </c>
      <c r="B47" s="1" t="s">
        <v>86</v>
      </c>
      <c r="C47" s="1" t="s">
        <v>87</v>
      </c>
      <c r="D47" s="2">
        <v>746352.15</v>
      </c>
      <c r="E47" s="2">
        <v>0</v>
      </c>
      <c r="F47" s="19">
        <f t="shared" si="0"/>
        <v>746352.15</v>
      </c>
      <c r="G47" s="2">
        <f t="shared" si="3"/>
        <v>574576.18000000005</v>
      </c>
      <c r="I47" s="40"/>
      <c r="J47" s="20"/>
      <c r="K47" s="25"/>
      <c r="L47" s="26">
        <f t="shared" si="2"/>
        <v>746352.15</v>
      </c>
      <c r="M47">
        <f>+L47/50797.1</f>
        <v>14.692810219481034</v>
      </c>
    </row>
    <row r="48" spans="1:13" x14ac:dyDescent="0.25">
      <c r="A48" s="2">
        <v>2950099.37</v>
      </c>
      <c r="B48" s="1" t="s">
        <v>88</v>
      </c>
      <c r="C48" s="1" t="s">
        <v>89</v>
      </c>
      <c r="D48" s="2">
        <v>4675369.18</v>
      </c>
      <c r="E48" s="2">
        <v>0</v>
      </c>
      <c r="F48" s="19">
        <f t="shared" si="0"/>
        <v>4675369.18</v>
      </c>
      <c r="G48" s="2">
        <f t="shared" si="3"/>
        <v>2950099.37</v>
      </c>
      <c r="I48" s="40"/>
      <c r="J48" s="20"/>
      <c r="K48" s="25"/>
      <c r="L48" s="26">
        <f t="shared" si="2"/>
        <v>4675369.18</v>
      </c>
      <c r="M48">
        <f>+L48/285193.81</f>
        <v>16.393655879137068</v>
      </c>
    </row>
    <row r="49" spans="1:13" x14ac:dyDescent="0.25">
      <c r="A49" s="2">
        <v>37050.800000000003</v>
      </c>
      <c r="B49" s="1" t="s">
        <v>90</v>
      </c>
      <c r="C49" s="1" t="s">
        <v>91</v>
      </c>
      <c r="D49" s="2">
        <v>38337.01</v>
      </c>
      <c r="E49" s="2">
        <v>0</v>
      </c>
      <c r="F49" s="19">
        <f t="shared" si="0"/>
        <v>38337.01</v>
      </c>
      <c r="G49" s="2">
        <f t="shared" si="3"/>
        <v>37050.800000000003</v>
      </c>
      <c r="H49" s="2">
        <v>4481614</v>
      </c>
      <c r="I49" s="40">
        <f>+H49-SUM(G44:G49)</f>
        <v>-2759.2299999995157</v>
      </c>
      <c r="J49" s="20"/>
      <c r="K49" s="25"/>
      <c r="L49" s="26">
        <f t="shared" si="2"/>
        <v>35577.780000000486</v>
      </c>
      <c r="M49">
        <f>+L49/2000.48</f>
        <v>17.784621690794452</v>
      </c>
    </row>
    <row r="50" spans="1:13" x14ac:dyDescent="0.25">
      <c r="A50" s="38">
        <v>-6234638.2999999998</v>
      </c>
      <c r="B50" s="1" t="s">
        <v>92</v>
      </c>
      <c r="C50" s="1" t="s">
        <v>93</v>
      </c>
      <c r="D50" s="3">
        <v>0</v>
      </c>
      <c r="E50" s="2">
        <v>4722049.07</v>
      </c>
      <c r="F50" s="19">
        <f t="shared" si="0"/>
        <v>-4722049.07</v>
      </c>
      <c r="G50" s="2">
        <f t="shared" si="3"/>
        <v>-6234638.2999999998</v>
      </c>
      <c r="H50" s="2">
        <v>-6234638</v>
      </c>
      <c r="I50" s="40"/>
      <c r="J50" s="20"/>
      <c r="K50" s="25"/>
      <c r="L50" s="26">
        <f t="shared" si="2"/>
        <v>-4722049.07</v>
      </c>
    </row>
    <row r="51" spans="1:13" x14ac:dyDescent="0.25">
      <c r="A51" s="38">
        <v>-680.99</v>
      </c>
      <c r="B51" s="1" t="s">
        <v>94</v>
      </c>
      <c r="C51" s="1" t="s">
        <v>95</v>
      </c>
      <c r="D51" s="2">
        <v>252984.45</v>
      </c>
      <c r="E51" s="2">
        <v>0</v>
      </c>
      <c r="F51" s="19">
        <f t="shared" si="0"/>
        <v>252984.45</v>
      </c>
      <c r="G51" s="2">
        <f t="shared" si="3"/>
        <v>-680.99</v>
      </c>
      <c r="H51" s="2">
        <v>-680.99</v>
      </c>
      <c r="I51" s="40">
        <f t="shared" si="4"/>
        <v>0</v>
      </c>
      <c r="J51" s="20"/>
      <c r="K51" s="25"/>
      <c r="L51" s="26">
        <f t="shared" si="2"/>
        <v>252984.45</v>
      </c>
    </row>
    <row r="52" spans="1:13" x14ac:dyDescent="0.25">
      <c r="A52" s="38">
        <v>309294.84000000003</v>
      </c>
      <c r="B52" s="1" t="s">
        <v>96</v>
      </c>
      <c r="C52" s="1" t="s">
        <v>97</v>
      </c>
      <c r="D52" s="2">
        <v>114913.07</v>
      </c>
      <c r="E52" s="2">
        <v>0</v>
      </c>
      <c r="F52" s="19">
        <f t="shared" si="0"/>
        <v>114913.07</v>
      </c>
      <c r="G52" s="2">
        <f t="shared" si="3"/>
        <v>309294.84000000003</v>
      </c>
      <c r="H52" s="2">
        <v>309295</v>
      </c>
      <c r="I52" s="40"/>
      <c r="J52" s="20"/>
      <c r="K52" s="25"/>
      <c r="L52" s="26">
        <f t="shared" si="2"/>
        <v>114913.07</v>
      </c>
    </row>
    <row r="53" spans="1:13" ht="15.75" thickBot="1" x14ac:dyDescent="0.3">
      <c r="A53" s="3" t="s">
        <v>3</v>
      </c>
      <c r="B53" s="1" t="s">
        <v>3</v>
      </c>
      <c r="C53" s="1" t="s">
        <v>3</v>
      </c>
      <c r="D53" s="3" t="s">
        <v>3</v>
      </c>
      <c r="F53" s="19"/>
      <c r="I53" s="40"/>
      <c r="J53" s="20"/>
      <c r="K53" s="25"/>
      <c r="L53" s="26">
        <f t="shared" si="1"/>
        <v>0</v>
      </c>
    </row>
    <row r="54" spans="1:13" ht="15.75" thickBot="1" x14ac:dyDescent="0.3">
      <c r="A54" s="2">
        <v>-1E-4</v>
      </c>
      <c r="B54" s="1" t="s">
        <v>3</v>
      </c>
      <c r="C54" s="1" t="s">
        <v>3</v>
      </c>
      <c r="D54" s="27">
        <v>18008783.571800001</v>
      </c>
      <c r="E54" s="28">
        <v>18008783.5757</v>
      </c>
      <c r="F54" s="29">
        <f>SUM(F4:F52)</f>
        <v>-3.8999984972178936E-3</v>
      </c>
      <c r="G54" s="29">
        <f t="shared" ref="G54:I54" si="5">SUM(G4:G52)</f>
        <v>-3.3999994047917426E-3</v>
      </c>
      <c r="H54" s="29">
        <f t="shared" si="5"/>
        <v>-1.4399999992456287</v>
      </c>
      <c r="I54" s="29">
        <f t="shared" si="5"/>
        <v>9.3132257461547852E-10</v>
      </c>
      <c r="J54" s="29">
        <f t="shared" ref="J54:L54" si="6">SUM(J4:J52)</f>
        <v>5.7042370826820843E-11</v>
      </c>
      <c r="K54" s="29">
        <f t="shared" si="6"/>
        <v>0</v>
      </c>
      <c r="L54" s="30">
        <f t="shared" si="6"/>
        <v>-3.8999984972178936E-3</v>
      </c>
    </row>
    <row r="55" spans="1:13" x14ac:dyDescent="0.25">
      <c r="A55" s="3" t="s">
        <v>3</v>
      </c>
      <c r="B55" s="1" t="s">
        <v>3</v>
      </c>
      <c r="C55" s="1" t="s">
        <v>3</v>
      </c>
      <c r="D55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5848-6885-4564-83CC-3786A12F2FBC}">
  <dimension ref="A1:E43"/>
  <sheetViews>
    <sheetView workbookViewId="0">
      <selection activeCell="B32" sqref="B32"/>
    </sheetView>
  </sheetViews>
  <sheetFormatPr defaultRowHeight="15" x14ac:dyDescent="0.25"/>
  <cols>
    <col min="2" max="2" width="24.42578125" bestFit="1" customWidth="1"/>
    <col min="4" max="4" width="14.140625" style="21" bestFit="1" customWidth="1"/>
  </cols>
  <sheetData>
    <row r="1" spans="1:5" x14ac:dyDescent="0.25">
      <c r="A1" t="s">
        <v>134</v>
      </c>
      <c r="B1" s="24">
        <v>43881</v>
      </c>
    </row>
    <row r="4" spans="1:5" x14ac:dyDescent="0.25">
      <c r="A4">
        <v>1</v>
      </c>
      <c r="B4" t="s">
        <v>135</v>
      </c>
      <c r="C4" t="s">
        <v>8</v>
      </c>
      <c r="E4" t="s">
        <v>4</v>
      </c>
    </row>
    <row r="5" spans="1:5" x14ac:dyDescent="0.25">
      <c r="B5" t="s">
        <v>136</v>
      </c>
      <c r="C5" t="s">
        <v>16</v>
      </c>
      <c r="E5" t="s">
        <v>5</v>
      </c>
    </row>
    <row r="6" spans="1:5" x14ac:dyDescent="0.25">
      <c r="B6" t="s">
        <v>137</v>
      </c>
      <c r="C6" t="s">
        <v>38</v>
      </c>
      <c r="E6" t="s">
        <v>4</v>
      </c>
    </row>
    <row r="7" spans="1:5" x14ac:dyDescent="0.25">
      <c r="B7" t="s">
        <v>138</v>
      </c>
      <c r="C7" t="s">
        <v>40</v>
      </c>
      <c r="E7" t="s">
        <v>5</v>
      </c>
    </row>
    <row r="8" spans="1:5" ht="45" x14ac:dyDescent="0.25">
      <c r="B8" s="22" t="s">
        <v>139</v>
      </c>
    </row>
    <row r="10" spans="1:5" x14ac:dyDescent="0.25">
      <c r="A10">
        <v>2</v>
      </c>
      <c r="B10" t="s">
        <v>7</v>
      </c>
      <c r="C10" t="s">
        <v>6</v>
      </c>
      <c r="E10" t="s">
        <v>4</v>
      </c>
    </row>
    <row r="11" spans="1:5" x14ac:dyDescent="0.25">
      <c r="B11" t="s">
        <v>140</v>
      </c>
      <c r="C11" t="s">
        <v>8</v>
      </c>
      <c r="E11" t="s">
        <v>5</v>
      </c>
    </row>
    <row r="12" spans="1:5" x14ac:dyDescent="0.25">
      <c r="B12" s="22" t="s">
        <v>141</v>
      </c>
    </row>
    <row r="14" spans="1:5" x14ac:dyDescent="0.25">
      <c r="A14">
        <v>3</v>
      </c>
      <c r="B14" t="s">
        <v>142</v>
      </c>
      <c r="C14" t="s">
        <v>60</v>
      </c>
      <c r="E14" t="s">
        <v>4</v>
      </c>
    </row>
    <row r="15" spans="1:5" x14ac:dyDescent="0.25">
      <c r="B15" t="s">
        <v>140</v>
      </c>
      <c r="C15" t="s">
        <v>6</v>
      </c>
      <c r="E15" t="s">
        <v>5</v>
      </c>
    </row>
    <row r="16" spans="1:5" x14ac:dyDescent="0.25">
      <c r="B16" s="22" t="s">
        <v>143</v>
      </c>
    </row>
    <row r="18" spans="1:5" x14ac:dyDescent="0.25">
      <c r="A18">
        <v>4</v>
      </c>
      <c r="B18" t="s">
        <v>48</v>
      </c>
      <c r="C18" t="s">
        <v>47</v>
      </c>
      <c r="D18" s="21">
        <f>-D19</f>
        <v>414334.09017331153</v>
      </c>
      <c r="E18" t="s">
        <v>4</v>
      </c>
    </row>
    <row r="19" spans="1:5" x14ac:dyDescent="0.25">
      <c r="B19" t="s">
        <v>142</v>
      </c>
      <c r="C19" t="s">
        <v>60</v>
      </c>
      <c r="D19" s="21">
        <v>-414334.09017331153</v>
      </c>
      <c r="E19" t="s">
        <v>5</v>
      </c>
    </row>
    <row r="20" spans="1:5" ht="30" x14ac:dyDescent="0.25">
      <c r="B20" s="22" t="s">
        <v>144</v>
      </c>
    </row>
    <row r="22" spans="1:5" x14ac:dyDescent="0.25">
      <c r="A22">
        <v>5</v>
      </c>
      <c r="B22" t="s">
        <v>145</v>
      </c>
      <c r="C22" t="s">
        <v>146</v>
      </c>
      <c r="E22" t="s">
        <v>4</v>
      </c>
    </row>
    <row r="23" spans="1:5" x14ac:dyDescent="0.25">
      <c r="B23" t="s">
        <v>147</v>
      </c>
      <c r="C23" t="s">
        <v>94</v>
      </c>
      <c r="E23" t="s">
        <v>5</v>
      </c>
    </row>
    <row r="24" spans="1:5" ht="30" x14ac:dyDescent="0.25">
      <c r="B24" s="22" t="s">
        <v>148</v>
      </c>
    </row>
    <row r="26" spans="1:5" x14ac:dyDescent="0.25">
      <c r="A26">
        <v>6</v>
      </c>
      <c r="B26" t="s">
        <v>140</v>
      </c>
      <c r="C26" t="s">
        <v>8</v>
      </c>
      <c r="D26" s="21">
        <v>80000</v>
      </c>
      <c r="E26" t="s">
        <v>154</v>
      </c>
    </row>
    <row r="27" spans="1:5" x14ac:dyDescent="0.25">
      <c r="B27" t="s">
        <v>153</v>
      </c>
      <c r="C27" t="s">
        <v>60</v>
      </c>
      <c r="D27" s="21">
        <f>-D26</f>
        <v>-80000</v>
      </c>
      <c r="E27" t="s">
        <v>155</v>
      </c>
    </row>
    <row r="28" spans="1:5" x14ac:dyDescent="0.25">
      <c r="B28" s="23" t="s">
        <v>156</v>
      </c>
    </row>
    <row r="30" spans="1:5" x14ac:dyDescent="0.25">
      <c r="A30">
        <v>7</v>
      </c>
      <c r="B30" t="s">
        <v>140</v>
      </c>
      <c r="C30" t="s">
        <v>8</v>
      </c>
      <c r="D30" s="21">
        <v>252041.73</v>
      </c>
      <c r="E30" t="s">
        <v>4</v>
      </c>
    </row>
    <row r="31" spans="1:5" x14ac:dyDescent="0.25">
      <c r="B31" t="s">
        <v>157</v>
      </c>
      <c r="C31" t="s">
        <v>26</v>
      </c>
      <c r="D31" s="21">
        <f>-D30</f>
        <v>-252041.73</v>
      </c>
      <c r="E31" t="s">
        <v>5</v>
      </c>
    </row>
    <row r="32" spans="1:5" x14ac:dyDescent="0.25">
      <c r="B32" t="s">
        <v>158</v>
      </c>
    </row>
    <row r="36" spans="2:2" x14ac:dyDescent="0.25">
      <c r="B36" s="22"/>
    </row>
    <row r="40" spans="2:2" x14ac:dyDescent="0.25">
      <c r="B40" s="22"/>
    </row>
    <row r="43" spans="2:2" x14ac:dyDescent="0.25">
      <c r="B43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88AD-AA69-4A44-88BF-A78708194345}">
  <dimension ref="A2:I34"/>
  <sheetViews>
    <sheetView zoomScaleNormal="100" workbookViewId="0">
      <selection activeCell="B31" sqref="B31"/>
    </sheetView>
  </sheetViews>
  <sheetFormatPr defaultRowHeight="15" x14ac:dyDescent="0.25"/>
  <cols>
    <col min="1" max="1" width="34.7109375" customWidth="1"/>
    <col min="2" max="2" width="15.140625" customWidth="1"/>
    <col min="3" max="5" width="13" customWidth="1"/>
    <col min="6" max="6" width="12" customWidth="1"/>
    <col min="8" max="8" width="11.5703125" bestFit="1" customWidth="1"/>
    <col min="9" max="9" width="14" style="2" bestFit="1" customWidth="1"/>
  </cols>
  <sheetData>
    <row r="2" spans="1:9" x14ac:dyDescent="0.25">
      <c r="A2" s="4" t="s">
        <v>100</v>
      </c>
      <c r="B2" s="4" t="s">
        <v>101</v>
      </c>
    </row>
    <row r="3" spans="1:9" x14ac:dyDescent="0.25">
      <c r="A3" s="5"/>
      <c r="B3" s="5" t="s">
        <v>102</v>
      </c>
      <c r="C3" s="5" t="s">
        <v>103</v>
      </c>
      <c r="D3" s="5"/>
      <c r="E3" s="5"/>
      <c r="F3" s="5"/>
      <c r="G3" s="5"/>
      <c r="H3" s="5"/>
      <c r="I3" s="6"/>
    </row>
    <row r="4" spans="1:9" x14ac:dyDescent="0.25">
      <c r="A4" s="5" t="s">
        <v>104</v>
      </c>
      <c r="B4" s="5"/>
      <c r="C4" s="5"/>
      <c r="D4" s="5"/>
      <c r="E4" s="5"/>
      <c r="F4" s="5"/>
      <c r="G4" s="7"/>
      <c r="H4" s="8"/>
      <c r="I4" s="6"/>
    </row>
    <row r="5" spans="1:9" x14ac:dyDescent="0.25">
      <c r="A5" s="5" t="s">
        <v>105</v>
      </c>
      <c r="B5" s="9">
        <v>86958.42</v>
      </c>
      <c r="C5" s="10">
        <v>156325.82999999999</v>
      </c>
      <c r="D5" s="5"/>
      <c r="E5" s="5" t="s">
        <v>106</v>
      </c>
      <c r="F5" s="10">
        <v>2770940.28</v>
      </c>
      <c r="G5" s="11">
        <v>0.15</v>
      </c>
      <c r="H5" s="9"/>
      <c r="I5" s="12">
        <f>F5/1.15</f>
        <v>2409513.2869565217</v>
      </c>
    </row>
    <row r="6" spans="1:9" x14ac:dyDescent="0.25">
      <c r="A6" s="5" t="s">
        <v>107</v>
      </c>
      <c r="B6" s="9"/>
      <c r="C6" s="10"/>
      <c r="D6" s="5"/>
      <c r="E6" s="5"/>
      <c r="F6" s="10"/>
      <c r="G6" s="11"/>
      <c r="H6" s="9"/>
      <c r="I6" s="12"/>
    </row>
    <row r="7" spans="1:9" x14ac:dyDescent="0.25">
      <c r="A7" s="5" t="s">
        <v>108</v>
      </c>
      <c r="B7" s="9">
        <v>-52469.16</v>
      </c>
      <c r="C7" s="10">
        <v>466136.95</v>
      </c>
      <c r="D7" s="5"/>
      <c r="E7" s="5" t="s">
        <v>109</v>
      </c>
      <c r="F7" s="10">
        <v>2824928.21</v>
      </c>
      <c r="G7" s="11">
        <v>0.15</v>
      </c>
      <c r="H7" s="9"/>
      <c r="I7" s="12">
        <v>2456459.2799999998</v>
      </c>
    </row>
    <row r="8" spans="1:9" x14ac:dyDescent="0.25">
      <c r="A8" s="5" t="s">
        <v>110</v>
      </c>
      <c r="B8" s="9"/>
      <c r="C8" s="10"/>
      <c r="D8" s="5"/>
      <c r="E8" s="5"/>
      <c r="F8" s="10"/>
      <c r="G8" s="10"/>
      <c r="H8" s="9"/>
      <c r="I8" s="12"/>
    </row>
    <row r="9" spans="1:9" x14ac:dyDescent="0.25">
      <c r="A9" s="5" t="s">
        <v>111</v>
      </c>
      <c r="B9" s="9">
        <v>160054.91</v>
      </c>
      <c r="C9" s="9">
        <v>636625.80000000005</v>
      </c>
      <c r="D9" s="5"/>
      <c r="E9" s="5" t="s">
        <v>112</v>
      </c>
      <c r="F9" s="10">
        <v>5870528.0099999998</v>
      </c>
      <c r="G9" s="11">
        <v>0.15</v>
      </c>
      <c r="H9" s="9"/>
      <c r="I9" s="12">
        <v>5104806.96</v>
      </c>
    </row>
    <row r="10" spans="1:9" x14ac:dyDescent="0.25">
      <c r="A10" s="5" t="s">
        <v>113</v>
      </c>
      <c r="B10" s="9"/>
      <c r="C10" s="10"/>
      <c r="D10" s="5"/>
      <c r="E10" s="5"/>
      <c r="F10" s="10"/>
      <c r="G10" s="10"/>
      <c r="H10" s="9"/>
      <c r="I10" s="12"/>
    </row>
    <row r="11" spans="1:9" x14ac:dyDescent="0.25">
      <c r="A11" s="5" t="s">
        <v>114</v>
      </c>
      <c r="B11" s="9">
        <v>118443.71</v>
      </c>
      <c r="C11" s="10">
        <v>257112.78</v>
      </c>
      <c r="D11" s="5"/>
      <c r="E11" s="5" t="s">
        <v>115</v>
      </c>
      <c r="F11" s="10">
        <v>1880780.39</v>
      </c>
      <c r="G11" s="11">
        <v>0.15</v>
      </c>
      <c r="H11" s="9"/>
      <c r="I11" s="12">
        <v>1635461.16</v>
      </c>
    </row>
    <row r="12" spans="1:9" x14ac:dyDescent="0.25">
      <c r="A12" s="5" t="s">
        <v>116</v>
      </c>
      <c r="B12" s="9"/>
      <c r="C12" s="10"/>
      <c r="D12" s="5"/>
      <c r="E12" s="5"/>
      <c r="F12" s="10"/>
      <c r="G12" s="10"/>
      <c r="H12" s="9"/>
      <c r="I12" s="12"/>
    </row>
    <row r="13" spans="1:9" x14ac:dyDescent="0.25">
      <c r="A13" s="5" t="s">
        <v>117</v>
      </c>
      <c r="B13" s="9">
        <v>-226595.32</v>
      </c>
      <c r="C13" s="9">
        <v>481050.67</v>
      </c>
      <c r="D13" s="5"/>
      <c r="E13" s="8" t="s">
        <v>118</v>
      </c>
      <c r="F13" s="10">
        <v>104841.47</v>
      </c>
      <c r="G13" s="11">
        <v>0.15</v>
      </c>
      <c r="H13" s="9"/>
      <c r="I13" s="12">
        <v>91166.5</v>
      </c>
    </row>
    <row r="14" spans="1:9" x14ac:dyDescent="0.25">
      <c r="A14" s="5" t="s">
        <v>119</v>
      </c>
      <c r="B14" s="9"/>
      <c r="C14" s="9"/>
      <c r="D14" s="5"/>
      <c r="E14" s="5"/>
      <c r="F14" s="10"/>
      <c r="G14" s="10"/>
      <c r="H14" s="9"/>
      <c r="I14" s="12"/>
    </row>
    <row r="15" spans="1:9" x14ac:dyDescent="0.25">
      <c r="A15" s="5" t="s">
        <v>120</v>
      </c>
      <c r="B15" s="9">
        <v>-114915.74</v>
      </c>
      <c r="C15" s="9">
        <v>361500.8</v>
      </c>
      <c r="D15" s="5"/>
      <c r="E15" s="5" t="s">
        <v>121</v>
      </c>
      <c r="F15" s="9">
        <v>970745.77</v>
      </c>
      <c r="G15" s="11">
        <v>0.15</v>
      </c>
      <c r="H15" s="9"/>
      <c r="I15" s="12">
        <v>844126.74</v>
      </c>
    </row>
    <row r="16" spans="1:9" x14ac:dyDescent="0.25">
      <c r="A16" s="5"/>
      <c r="B16" s="8"/>
      <c r="C16" s="5"/>
      <c r="D16" s="5"/>
      <c r="E16" s="5"/>
      <c r="F16" s="5"/>
      <c r="G16" s="5"/>
      <c r="H16" s="5"/>
      <c r="I16" s="6"/>
    </row>
    <row r="17" spans="1:9" x14ac:dyDescent="0.25">
      <c r="A17" s="5" t="s">
        <v>122</v>
      </c>
      <c r="B17" s="8">
        <f>SUM(B4:B16)</f>
        <v>-28523.180000000008</v>
      </c>
      <c r="C17" s="5">
        <f>SUM(C4:C16)</f>
        <v>2358752.83</v>
      </c>
      <c r="D17" s="5"/>
      <c r="E17" s="5"/>
      <c r="F17" s="5"/>
      <c r="G17" s="5"/>
      <c r="H17" s="8" t="s">
        <v>123</v>
      </c>
      <c r="I17" s="6">
        <f>SUM(I5:I16)</f>
        <v>12541533.926956521</v>
      </c>
    </row>
    <row r="18" spans="1:9" x14ac:dyDescent="0.25">
      <c r="A18" s="5"/>
      <c r="B18" s="5"/>
      <c r="C18" s="5"/>
      <c r="D18" s="5"/>
      <c r="E18" s="5"/>
      <c r="F18" s="5"/>
      <c r="G18" s="5"/>
      <c r="H18" s="5" t="s">
        <v>124</v>
      </c>
      <c r="I18" s="6">
        <v>2358752.83</v>
      </c>
    </row>
    <row r="20" spans="1:9" x14ac:dyDescent="0.25">
      <c r="H20" s="13" t="s">
        <v>125</v>
      </c>
      <c r="I20" s="14">
        <f>SUM(I17:I19)</f>
        <v>14900286.756956521</v>
      </c>
    </row>
    <row r="21" spans="1:9" x14ac:dyDescent="0.25">
      <c r="A21" s="5"/>
      <c r="B21" s="15" t="s">
        <v>126</v>
      </c>
      <c r="C21" s="5"/>
      <c r="D21" s="5"/>
    </row>
    <row r="22" spans="1:9" x14ac:dyDescent="0.25">
      <c r="A22" s="5"/>
      <c r="B22" s="5"/>
      <c r="C22" s="5"/>
      <c r="D22" s="5"/>
    </row>
    <row r="23" spans="1:9" x14ac:dyDescent="0.25">
      <c r="A23" s="5" t="s">
        <v>127</v>
      </c>
      <c r="B23" s="8">
        <f>I17</f>
        <v>12541533.926956521</v>
      </c>
      <c r="C23" s="5"/>
      <c r="D23" s="5"/>
    </row>
    <row r="24" spans="1:9" x14ac:dyDescent="0.25">
      <c r="A24" s="5" t="s">
        <v>124</v>
      </c>
      <c r="B24" s="8">
        <f>I18</f>
        <v>2358752.83</v>
      </c>
      <c r="C24" s="5"/>
      <c r="D24" s="5"/>
    </row>
    <row r="25" spans="1:9" x14ac:dyDescent="0.25">
      <c r="A25" s="5"/>
      <c r="B25" s="16">
        <f>SUM(B23:B24)</f>
        <v>14900286.756956521</v>
      </c>
      <c r="C25" s="5"/>
      <c r="D25" s="5"/>
    </row>
    <row r="26" spans="1:9" x14ac:dyDescent="0.25">
      <c r="A26" s="5"/>
      <c r="B26" s="5"/>
      <c r="C26" s="5"/>
      <c r="D26" s="5"/>
    </row>
    <row r="27" spans="1:9" x14ac:dyDescent="0.25">
      <c r="A27" s="5" t="s">
        <v>128</v>
      </c>
      <c r="B27" s="9">
        <v>14292118.529999999</v>
      </c>
      <c r="C27" s="5" t="s">
        <v>6</v>
      </c>
      <c r="D27" s="5"/>
    </row>
    <row r="28" spans="1:9" x14ac:dyDescent="0.25">
      <c r="A28" s="5" t="s">
        <v>129</v>
      </c>
      <c r="B28" s="10">
        <v>36553.040000000001</v>
      </c>
      <c r="C28" s="5" t="s">
        <v>16</v>
      </c>
      <c r="D28" s="5"/>
    </row>
    <row r="29" spans="1:9" x14ac:dyDescent="0.25">
      <c r="A29" s="5" t="s">
        <v>130</v>
      </c>
      <c r="B29" s="9">
        <v>411318.43</v>
      </c>
      <c r="C29" s="5" t="s">
        <v>20</v>
      </c>
      <c r="D29" s="5"/>
    </row>
    <row r="30" spans="1:9" x14ac:dyDescent="0.25">
      <c r="A30" s="5" t="s">
        <v>131</v>
      </c>
      <c r="B30" s="9">
        <v>160083.04</v>
      </c>
      <c r="C30" s="5" t="s">
        <v>22</v>
      </c>
      <c r="D30" s="5"/>
    </row>
    <row r="31" spans="1:9" x14ac:dyDescent="0.25">
      <c r="A31" s="5" t="s">
        <v>132</v>
      </c>
      <c r="B31" s="9">
        <v>213.72</v>
      </c>
      <c r="C31" s="5" t="s">
        <v>36</v>
      </c>
      <c r="D31" s="5"/>
    </row>
    <row r="32" spans="1:9" x14ac:dyDescent="0.25">
      <c r="A32" s="5"/>
      <c r="B32" s="16">
        <f>SUM(B27:B31)</f>
        <v>14900286.759999998</v>
      </c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17"/>
      <c r="B34" s="18"/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</vt:lpstr>
      <vt:lpstr>AJEs</vt:lpstr>
      <vt:lpstr>VAT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Bernadine Wright</dc:creator>
  <cp:lastModifiedBy>Danie Bantjes</cp:lastModifiedBy>
  <dcterms:created xsi:type="dcterms:W3CDTF">2020-03-23T09:26:12Z</dcterms:created>
  <dcterms:modified xsi:type="dcterms:W3CDTF">2020-08-13T09:18:57Z</dcterms:modified>
</cp:coreProperties>
</file>