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f1bed2e4a61067/ELEKTRA/"/>
    </mc:Choice>
  </mc:AlternateContent>
  <xr:revisionPtr revIDLastSave="581" documentId="8_{A592EC7D-5DC8-46AA-8D8C-1E37EA1903CF}" xr6:coauthVersionLast="45" xr6:coauthVersionMax="45" xr10:uidLastSave="{8D04BE2D-D8D2-4DC7-BCD3-F6AC51C199B7}"/>
  <bookViews>
    <workbookView xWindow="28680" yWindow="-120" windowWidth="29040" windowHeight="15840" tabRatio="500" firstSheet="4" activeTab="4" xr2:uid="{00000000-000D-0000-FFFF-FFFF00000000}"/>
  </bookViews>
  <sheets>
    <sheet name="Sheet1" sheetId="1" r:id="rId1"/>
    <sheet name="Sheet1 (3)" sheetId="4" r:id="rId2"/>
    <sheet name="Sheet3" sheetId="3" r:id="rId3"/>
    <sheet name="LT skaiciuokle (2)" sheetId="5" r:id="rId4"/>
    <sheet name="LT skaiciuokle" sheetId="2" r:id="rId5"/>
    <sheet name="IRR skaičiavimas" sheetId="6" r:id="rId6"/>
  </sheets>
  <definedNames>
    <definedName name="_xlnm.Print_Area" localSheetId="4">'LT skaiciuokle'!$A$1:$AA$40</definedName>
    <definedName name="_xlnm.Print_Area" localSheetId="3">'LT skaiciuokle (2)'!$A$1:$R$40</definedName>
    <definedName name="_xlnm.Print_Area" localSheetId="0">Sheet1!$A$1:$R$39</definedName>
    <definedName name="_xlnm.Print_Area" localSheetId="1">'Sheet1 (3)'!$A$1:$R$39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6" l="1" a="1"/>
  <c r="F4" i="6" s="1"/>
  <c r="D4" i="6" a="1"/>
  <c r="D4" i="6" s="1"/>
  <c r="B4" i="6" a="1"/>
  <c r="B4" i="6" s="1"/>
  <c r="F14" i="2" l="1"/>
  <c r="D15" i="2" l="1"/>
  <c r="L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14" i="2"/>
  <c r="K15" i="2"/>
  <c r="C6" i="2"/>
  <c r="C5" i="2"/>
  <c r="J15" i="5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G14" i="5"/>
  <c r="C11" i="5"/>
  <c r="B14" i="5" s="1"/>
  <c r="U10" i="5"/>
  <c r="V10" i="5" s="1"/>
  <c r="G10" i="5"/>
  <c r="F14" i="5" s="1"/>
  <c r="F15" i="5" s="1"/>
  <c r="C4" i="5"/>
  <c r="C5" i="5" s="1"/>
  <c r="D3" i="5" l="1"/>
  <c r="L16" i="2"/>
  <c r="F15" i="2"/>
  <c r="N14" i="2"/>
  <c r="O14" i="2" s="1"/>
  <c r="F16" i="5"/>
  <c r="G15" i="5"/>
  <c r="B15" i="5"/>
  <c r="I14" i="5"/>
  <c r="H14" i="5"/>
  <c r="G19" i="4"/>
  <c r="G20" i="4" s="1"/>
  <c r="G21" i="4" s="1"/>
  <c r="G22" i="4" s="1"/>
  <c r="G23" i="4" s="1"/>
  <c r="G24" i="4" s="1"/>
  <c r="G25" i="4" s="1"/>
  <c r="G26" i="4" s="1"/>
  <c r="G27" i="4"/>
  <c r="G28" i="4" s="1"/>
  <c r="G29" i="4" s="1"/>
  <c r="G30" i="4" s="1"/>
  <c r="G31" i="4" s="1"/>
  <c r="G32" i="4" s="1"/>
  <c r="G33" i="4" s="1"/>
  <c r="G34" i="4" s="1"/>
  <c r="G35" i="4"/>
  <c r="G36" i="4" s="1"/>
  <c r="G37" i="4" s="1"/>
  <c r="G38" i="4" s="1"/>
  <c r="G39" i="4" s="1"/>
  <c r="G40" i="4" s="1"/>
  <c r="G41" i="4" s="1"/>
  <c r="G42" i="4" s="1"/>
  <c r="G14" i="4"/>
  <c r="G15" i="4" s="1"/>
  <c r="G16" i="4" s="1"/>
  <c r="G17" i="4" s="1"/>
  <c r="G18" i="4" s="1"/>
  <c r="H14" i="4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C4" i="4"/>
  <c r="J14" i="4"/>
  <c r="J15" i="4" s="1"/>
  <c r="J16" i="4" s="1"/>
  <c r="J17" i="4"/>
  <c r="J18" i="4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/>
  <c r="C10" i="4"/>
  <c r="B13" i="4" s="1"/>
  <c r="G9" i="4"/>
  <c r="F13" i="4" s="1"/>
  <c r="F14" i="4" s="1"/>
  <c r="F15" i="4" s="1"/>
  <c r="Z10" i="2"/>
  <c r="AA10" i="2" s="1"/>
  <c r="C11" i="2"/>
  <c r="B14" i="2" s="1"/>
  <c r="K16" i="2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C4" i="1"/>
  <c r="G9" i="1"/>
  <c r="C10" i="1"/>
  <c r="B13" i="1" s="1"/>
  <c r="F13" i="1"/>
  <c r="F14" i="1" s="1"/>
  <c r="G13" i="1"/>
  <c r="J14" i="1"/>
  <c r="I13" i="4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F16" i="4"/>
  <c r="F17" i="4" s="1"/>
  <c r="F18" i="4" s="1"/>
  <c r="F19" i="4" s="1"/>
  <c r="J15" i="1"/>
  <c r="L13" i="4"/>
  <c r="M13" i="4"/>
  <c r="N13" i="4" s="1"/>
  <c r="J16" i="1"/>
  <c r="J17" i="1"/>
  <c r="J18" i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E14" i="2" l="1"/>
  <c r="G14" i="2" s="1"/>
  <c r="B15" i="2"/>
  <c r="E15" i="2" s="1"/>
  <c r="G14" i="1"/>
  <c r="F15" i="1"/>
  <c r="B14" i="4"/>
  <c r="K13" i="4"/>
  <c r="H13" i="1"/>
  <c r="I13" i="1"/>
  <c r="F16" i="2"/>
  <c r="F17" i="2" s="1"/>
  <c r="F18" i="2" s="1"/>
  <c r="N15" i="2"/>
  <c r="O15" i="2" s="1"/>
  <c r="B14" i="1"/>
  <c r="K13" i="1"/>
  <c r="P14" i="2"/>
  <c r="B5" i="6" s="1"/>
  <c r="Q14" i="2"/>
  <c r="L17" i="2"/>
  <c r="I15" i="5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M14" i="5"/>
  <c r="K14" i="5" s="1"/>
  <c r="P14" i="5" s="1"/>
  <c r="Q14" i="5" s="1"/>
  <c r="L14" i="5"/>
  <c r="U14" i="5" s="1"/>
  <c r="B16" i="5"/>
  <c r="M15" i="5"/>
  <c r="L15" i="5"/>
  <c r="K15" i="5"/>
  <c r="P15" i="5" s="1"/>
  <c r="H15" i="5"/>
  <c r="C15" i="5"/>
  <c r="F17" i="5"/>
  <c r="G16" i="5"/>
  <c r="P15" i="2" l="1"/>
  <c r="B6" i="6" s="1"/>
  <c r="H14" i="2"/>
  <c r="W14" i="2"/>
  <c r="X14" i="2" s="1"/>
  <c r="Y14" i="2" s="1"/>
  <c r="Z14" i="2" s="1"/>
  <c r="F5" i="6" s="1"/>
  <c r="B16" i="2"/>
  <c r="C15" i="2"/>
  <c r="N16" i="2"/>
  <c r="O16" i="2"/>
  <c r="G15" i="2"/>
  <c r="W15" i="2" s="1"/>
  <c r="X15" i="2" s="1"/>
  <c r="Y15" i="2" s="1"/>
  <c r="Z15" i="2" s="1"/>
  <c r="F6" i="6" s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M13" i="1"/>
  <c r="U13" i="4"/>
  <c r="V13" i="4" s="1"/>
  <c r="P13" i="4"/>
  <c r="Q13" i="4" s="1"/>
  <c r="X13" i="4"/>
  <c r="Y13" i="4" s="1"/>
  <c r="K14" i="1"/>
  <c r="B15" i="1"/>
  <c r="C14" i="1"/>
  <c r="L14" i="1"/>
  <c r="M14" i="1"/>
  <c r="H14" i="1"/>
  <c r="U13" i="1"/>
  <c r="V13" i="1" s="1"/>
  <c r="L13" i="1"/>
  <c r="P13" i="1" s="1"/>
  <c r="Q13" i="1" s="1"/>
  <c r="B15" i="4"/>
  <c r="C14" i="4"/>
  <c r="K14" i="4"/>
  <c r="L14" i="4"/>
  <c r="M14" i="4"/>
  <c r="N14" i="4" s="1"/>
  <c r="F16" i="1"/>
  <c r="G15" i="1"/>
  <c r="Q15" i="2"/>
  <c r="L18" i="2"/>
  <c r="N17" i="2"/>
  <c r="I15" i="2"/>
  <c r="J15" i="2" s="1"/>
  <c r="R14" i="2"/>
  <c r="I14" i="2"/>
  <c r="J14" i="2" s="1"/>
  <c r="F18" i="5"/>
  <c r="G17" i="5"/>
  <c r="B17" i="5"/>
  <c r="M16" i="5"/>
  <c r="K16" i="5" s="1"/>
  <c r="P16" i="5" s="1"/>
  <c r="L16" i="5"/>
  <c r="H16" i="5"/>
  <c r="C16" i="5"/>
  <c r="U15" i="5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V14" i="5"/>
  <c r="Q15" i="5"/>
  <c r="O17" i="2" l="1"/>
  <c r="R15" i="2"/>
  <c r="S15" i="2" s="1"/>
  <c r="D6" i="6" s="1"/>
  <c r="H15" i="2"/>
  <c r="E16" i="2"/>
  <c r="B17" i="2"/>
  <c r="C16" i="2"/>
  <c r="P16" i="2"/>
  <c r="B16" i="4"/>
  <c r="C15" i="4"/>
  <c r="L15" i="4"/>
  <c r="K15" i="4"/>
  <c r="M15" i="4"/>
  <c r="H15" i="1"/>
  <c r="C15" i="1"/>
  <c r="L15" i="1"/>
  <c r="M15" i="1"/>
  <c r="B16" i="1"/>
  <c r="K15" i="1"/>
  <c r="V14" i="4"/>
  <c r="Q16" i="5"/>
  <c r="X14" i="4"/>
  <c r="U14" i="4"/>
  <c r="P14" i="4"/>
  <c r="Q14" i="4" s="1"/>
  <c r="N14" i="1"/>
  <c r="P14" i="1"/>
  <c r="Q14" i="1" s="1"/>
  <c r="U14" i="1"/>
  <c r="V14" i="1" s="1"/>
  <c r="N13" i="1"/>
  <c r="V15" i="5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G16" i="1"/>
  <c r="F17" i="1"/>
  <c r="Y14" i="4"/>
  <c r="L19" i="2"/>
  <c r="S14" i="2"/>
  <c r="D5" i="6" s="1"/>
  <c r="F19" i="2"/>
  <c r="N18" i="2"/>
  <c r="AA14" i="2"/>
  <c r="AA15" i="2" s="1"/>
  <c r="B18" i="5"/>
  <c r="M17" i="5"/>
  <c r="L17" i="5"/>
  <c r="K17" i="5"/>
  <c r="P17" i="5" s="1"/>
  <c r="Q17" i="5" s="1"/>
  <c r="H17" i="5"/>
  <c r="C17" i="5"/>
  <c r="F19" i="5"/>
  <c r="G18" i="5"/>
  <c r="O18" i="2" l="1"/>
  <c r="Q16" i="2"/>
  <c r="B7" i="6"/>
  <c r="G16" i="2"/>
  <c r="R16" i="2" s="1"/>
  <c r="I16" i="2"/>
  <c r="J16" i="2" s="1"/>
  <c r="E17" i="2"/>
  <c r="B18" i="2"/>
  <c r="C17" i="2"/>
  <c r="P17" i="2"/>
  <c r="T14" i="2"/>
  <c r="T15" i="2" s="1"/>
  <c r="P15" i="1"/>
  <c r="Q15" i="1" s="1"/>
  <c r="U15" i="1"/>
  <c r="V15" i="1" s="1"/>
  <c r="M16" i="1"/>
  <c r="H16" i="1"/>
  <c r="B17" i="1"/>
  <c r="C16" i="1"/>
  <c r="L16" i="1"/>
  <c r="K16" i="1"/>
  <c r="N15" i="4"/>
  <c r="B17" i="4"/>
  <c r="M16" i="4"/>
  <c r="K16" i="4"/>
  <c r="C16" i="4"/>
  <c r="L16" i="4"/>
  <c r="F18" i="1"/>
  <c r="G17" i="1"/>
  <c r="N15" i="1"/>
  <c r="X15" i="4"/>
  <c r="Y15" i="4" s="1"/>
  <c r="P15" i="4"/>
  <c r="Q15" i="4" s="1"/>
  <c r="U15" i="4"/>
  <c r="V15" i="4" s="1"/>
  <c r="L20" i="2"/>
  <c r="F20" i="2"/>
  <c r="N19" i="2"/>
  <c r="O19" i="2" s="1"/>
  <c r="F20" i="5"/>
  <c r="G19" i="5"/>
  <c r="B19" i="5"/>
  <c r="M18" i="5"/>
  <c r="K18" i="5" s="1"/>
  <c r="P18" i="5" s="1"/>
  <c r="Q18" i="5" s="1"/>
  <c r="L18" i="5"/>
  <c r="H18" i="5"/>
  <c r="C18" i="5"/>
  <c r="W16" i="2" l="1"/>
  <c r="X16" i="2" s="1"/>
  <c r="Y16" i="2" s="1"/>
  <c r="Z16" i="2" s="1"/>
  <c r="AA16" i="2" s="1"/>
  <c r="Q17" i="2"/>
  <c r="B8" i="6"/>
  <c r="F7" i="6"/>
  <c r="H16" i="2"/>
  <c r="S16" i="2"/>
  <c r="D7" i="6" s="1"/>
  <c r="G17" i="2"/>
  <c r="R17" i="2" s="1"/>
  <c r="I17" i="2"/>
  <c r="J17" i="2" s="1"/>
  <c r="E18" i="2"/>
  <c r="B19" i="2"/>
  <c r="C18" i="2"/>
  <c r="P18" i="2"/>
  <c r="V16" i="4"/>
  <c r="L17" i="1"/>
  <c r="H17" i="1"/>
  <c r="B18" i="1"/>
  <c r="C17" i="1"/>
  <c r="M17" i="1"/>
  <c r="N17" i="1" s="1"/>
  <c r="K17" i="1"/>
  <c r="F19" i="1"/>
  <c r="G18" i="1"/>
  <c r="P16" i="4"/>
  <c r="Q16" i="4" s="1"/>
  <c r="X16" i="4"/>
  <c r="Y16" i="4" s="1"/>
  <c r="U16" i="4"/>
  <c r="U16" i="1"/>
  <c r="V16" i="1" s="1"/>
  <c r="P16" i="1"/>
  <c r="Q16" i="1" s="1"/>
  <c r="C17" i="4"/>
  <c r="B18" i="4"/>
  <c r="K17" i="4"/>
  <c r="M17" i="4"/>
  <c r="L17" i="4"/>
  <c r="N16" i="4"/>
  <c r="N16" i="1"/>
  <c r="L21" i="2"/>
  <c r="F21" i="2"/>
  <c r="N20" i="2"/>
  <c r="O20" i="2" s="1"/>
  <c r="B20" i="5"/>
  <c r="M19" i="5"/>
  <c r="K19" i="5" s="1"/>
  <c r="P19" i="5" s="1"/>
  <c r="Q19" i="5" s="1"/>
  <c r="L19" i="5"/>
  <c r="H19" i="5"/>
  <c r="C19" i="5"/>
  <c r="F21" i="5"/>
  <c r="G20" i="5"/>
  <c r="Q18" i="2" l="1"/>
  <c r="B9" i="6"/>
  <c r="T16" i="2"/>
  <c r="W17" i="2"/>
  <c r="X17" i="2" s="1"/>
  <c r="Y17" i="2" s="1"/>
  <c r="Z17" i="2" s="1"/>
  <c r="S17" i="2"/>
  <c r="D8" i="6" s="1"/>
  <c r="B20" i="2"/>
  <c r="C19" i="2"/>
  <c r="E19" i="2"/>
  <c r="P19" i="2"/>
  <c r="H17" i="2"/>
  <c r="G18" i="2"/>
  <c r="R18" i="2" s="1"/>
  <c r="I18" i="2"/>
  <c r="J18" i="2" s="1"/>
  <c r="L18" i="4"/>
  <c r="B19" i="4"/>
  <c r="M18" i="4"/>
  <c r="N18" i="4" s="1"/>
  <c r="K18" i="4"/>
  <c r="C18" i="4"/>
  <c r="G19" i="1"/>
  <c r="F20" i="1"/>
  <c r="C18" i="1"/>
  <c r="B19" i="1"/>
  <c r="L18" i="1"/>
  <c r="M18" i="1"/>
  <c r="N18" i="1" s="1"/>
  <c r="K18" i="1"/>
  <c r="H18" i="1"/>
  <c r="U17" i="1"/>
  <c r="V17" i="1" s="1"/>
  <c r="P17" i="1"/>
  <c r="Q17" i="1" s="1"/>
  <c r="U17" i="4"/>
  <c r="V17" i="4" s="1"/>
  <c r="X17" i="4"/>
  <c r="Y17" i="4" s="1"/>
  <c r="P17" i="4"/>
  <c r="Q17" i="4" s="1"/>
  <c r="N17" i="4"/>
  <c r="L22" i="2"/>
  <c r="F22" i="2"/>
  <c r="N21" i="2"/>
  <c r="O21" i="2" s="1"/>
  <c r="F22" i="5"/>
  <c r="G21" i="5"/>
  <c r="B21" i="5"/>
  <c r="M20" i="5"/>
  <c r="L20" i="5"/>
  <c r="K20" i="5"/>
  <c r="P20" i="5" s="1"/>
  <c r="Q20" i="5" s="1"/>
  <c r="H20" i="5"/>
  <c r="C20" i="5"/>
  <c r="Q19" i="2" l="1"/>
  <c r="B10" i="6"/>
  <c r="AA17" i="2"/>
  <c r="F8" i="6"/>
  <c r="H18" i="2"/>
  <c r="T17" i="2"/>
  <c r="S18" i="2"/>
  <c r="D9" i="6" s="1"/>
  <c r="C20" i="2"/>
  <c r="B21" i="2"/>
  <c r="E20" i="2"/>
  <c r="P20" i="2"/>
  <c r="W18" i="2"/>
  <c r="X18" i="2" s="1"/>
  <c r="Y18" i="2" s="1"/>
  <c r="Z18" i="2" s="1"/>
  <c r="G19" i="2"/>
  <c r="H19" i="2" s="1"/>
  <c r="I19" i="2"/>
  <c r="J19" i="2" s="1"/>
  <c r="V18" i="1"/>
  <c r="U18" i="1"/>
  <c r="P18" i="1"/>
  <c r="Q18" i="1" s="1"/>
  <c r="G20" i="1"/>
  <c r="F21" i="1"/>
  <c r="B20" i="4"/>
  <c r="M19" i="4"/>
  <c r="L19" i="4"/>
  <c r="K19" i="4"/>
  <c r="C19" i="4"/>
  <c r="U18" i="4"/>
  <c r="V18" i="4" s="1"/>
  <c r="P18" i="4"/>
  <c r="Q18" i="4" s="1"/>
  <c r="X18" i="4"/>
  <c r="Y18" i="4" s="1"/>
  <c r="H19" i="1"/>
  <c r="M19" i="1"/>
  <c r="N19" i="1" s="1"/>
  <c r="B20" i="1"/>
  <c r="L19" i="1"/>
  <c r="K19" i="1"/>
  <c r="C19" i="1"/>
  <c r="L23" i="2"/>
  <c r="F23" i="2"/>
  <c r="N22" i="2"/>
  <c r="O22" i="2" s="1"/>
  <c r="B22" i="5"/>
  <c r="M21" i="5"/>
  <c r="L21" i="5"/>
  <c r="K21" i="5"/>
  <c r="P21" i="5" s="1"/>
  <c r="Q21" i="5" s="1"/>
  <c r="H21" i="5"/>
  <c r="C21" i="5"/>
  <c r="F23" i="5"/>
  <c r="G22" i="5"/>
  <c r="Q20" i="2" l="1"/>
  <c r="B11" i="6"/>
  <c r="AA18" i="2"/>
  <c r="F9" i="6"/>
  <c r="T18" i="2"/>
  <c r="R19" i="2"/>
  <c r="S19" i="2" s="1"/>
  <c r="D10" i="6" s="1"/>
  <c r="G20" i="2"/>
  <c r="H20" i="2" s="1"/>
  <c r="I20" i="2"/>
  <c r="J20" i="2" s="1"/>
  <c r="W19" i="2"/>
  <c r="X19" i="2" s="1"/>
  <c r="Y19" i="2" s="1"/>
  <c r="Z19" i="2" s="1"/>
  <c r="E21" i="2"/>
  <c r="C21" i="2"/>
  <c r="B22" i="2"/>
  <c r="P21" i="2"/>
  <c r="M20" i="1"/>
  <c r="H20" i="1"/>
  <c r="B21" i="1"/>
  <c r="C20" i="1"/>
  <c r="L20" i="1"/>
  <c r="K20" i="1"/>
  <c r="P19" i="4"/>
  <c r="Q19" i="4" s="1"/>
  <c r="U19" i="4"/>
  <c r="V19" i="4" s="1"/>
  <c r="X19" i="4"/>
  <c r="Y19" i="4" s="1"/>
  <c r="U19" i="1"/>
  <c r="P19" i="1"/>
  <c r="Q19" i="1" s="1"/>
  <c r="N19" i="4"/>
  <c r="F22" i="1"/>
  <c r="G21" i="1"/>
  <c r="V19" i="1"/>
  <c r="M20" i="4"/>
  <c r="N20" i="4" s="1"/>
  <c r="B21" i="4"/>
  <c r="C20" i="4"/>
  <c r="L20" i="4"/>
  <c r="K20" i="4"/>
  <c r="L24" i="2"/>
  <c r="F24" i="2"/>
  <c r="N23" i="2"/>
  <c r="O23" i="2" s="1"/>
  <c r="F24" i="5"/>
  <c r="G23" i="5"/>
  <c r="B23" i="5"/>
  <c r="M22" i="5"/>
  <c r="K22" i="5" s="1"/>
  <c r="P22" i="5" s="1"/>
  <c r="Q22" i="5" s="1"/>
  <c r="L22" i="5"/>
  <c r="H22" i="5"/>
  <c r="C22" i="5"/>
  <c r="Q21" i="2" l="1"/>
  <c r="B12" i="6"/>
  <c r="AA19" i="2"/>
  <c r="F10" i="6"/>
  <c r="W20" i="2"/>
  <c r="X20" i="2" s="1"/>
  <c r="Y20" i="2" s="1"/>
  <c r="Z20" i="2" s="1"/>
  <c r="T19" i="2"/>
  <c r="R20" i="2"/>
  <c r="S20" i="2" s="1"/>
  <c r="D11" i="6" s="1"/>
  <c r="E22" i="2"/>
  <c r="C22" i="2"/>
  <c r="B23" i="2"/>
  <c r="P22" i="2"/>
  <c r="G21" i="2"/>
  <c r="W21" i="2" s="1"/>
  <c r="X21" i="2" s="1"/>
  <c r="Y21" i="2" s="1"/>
  <c r="Z21" i="2" s="1"/>
  <c r="F12" i="6" s="1"/>
  <c r="I21" i="2"/>
  <c r="J21" i="2" s="1"/>
  <c r="Q20" i="4"/>
  <c r="Y20" i="4"/>
  <c r="X20" i="4"/>
  <c r="P20" i="4"/>
  <c r="U20" i="4"/>
  <c r="V20" i="4" s="1"/>
  <c r="V20" i="1"/>
  <c r="L21" i="1"/>
  <c r="C21" i="1"/>
  <c r="M21" i="1"/>
  <c r="B22" i="1"/>
  <c r="H21" i="1"/>
  <c r="K21" i="1"/>
  <c r="P20" i="1"/>
  <c r="Q20" i="1" s="1"/>
  <c r="U20" i="1"/>
  <c r="K21" i="4"/>
  <c r="M21" i="4"/>
  <c r="B22" i="4"/>
  <c r="C21" i="4"/>
  <c r="L21" i="4"/>
  <c r="G22" i="1"/>
  <c r="F23" i="1"/>
  <c r="N20" i="1"/>
  <c r="L25" i="2"/>
  <c r="F25" i="2"/>
  <c r="N24" i="2"/>
  <c r="O24" i="2" s="1"/>
  <c r="B24" i="5"/>
  <c r="M23" i="5"/>
  <c r="L23" i="5"/>
  <c r="K23" i="5"/>
  <c r="P23" i="5" s="1"/>
  <c r="Q23" i="5" s="1"/>
  <c r="H23" i="5"/>
  <c r="C23" i="5"/>
  <c r="F25" i="5"/>
  <c r="G24" i="5"/>
  <c r="Q22" i="2" l="1"/>
  <c r="B13" i="6"/>
  <c r="AA20" i="2"/>
  <c r="AA21" i="2" s="1"/>
  <c r="F11" i="6"/>
  <c r="T20" i="2"/>
  <c r="H21" i="2"/>
  <c r="R21" i="2"/>
  <c r="S21" i="2" s="1"/>
  <c r="D12" i="6" s="1"/>
  <c r="G22" i="2"/>
  <c r="R22" i="2" s="1"/>
  <c r="I22" i="2"/>
  <c r="J22" i="2" s="1"/>
  <c r="E23" i="2"/>
  <c r="C23" i="2"/>
  <c r="B24" i="2"/>
  <c r="P23" i="2"/>
  <c r="V21" i="4"/>
  <c r="P21" i="4"/>
  <c r="X21" i="4"/>
  <c r="Y21" i="4" s="1"/>
  <c r="U21" i="4"/>
  <c r="C22" i="1"/>
  <c r="B23" i="1"/>
  <c r="M22" i="1"/>
  <c r="H22" i="1"/>
  <c r="L22" i="1"/>
  <c r="K22" i="1"/>
  <c r="Q21" i="4"/>
  <c r="G23" i="1"/>
  <c r="F24" i="1"/>
  <c r="K22" i="4"/>
  <c r="L22" i="4"/>
  <c r="C22" i="4"/>
  <c r="B23" i="4"/>
  <c r="M22" i="4"/>
  <c r="N21" i="1"/>
  <c r="N21" i="4"/>
  <c r="P21" i="1"/>
  <c r="Q21" i="1" s="1"/>
  <c r="U21" i="1"/>
  <c r="V21" i="1" s="1"/>
  <c r="L26" i="2"/>
  <c r="F26" i="2"/>
  <c r="F27" i="2" s="1"/>
  <c r="N25" i="2"/>
  <c r="O25" i="2" s="1"/>
  <c r="F26" i="5"/>
  <c r="G25" i="5"/>
  <c r="B25" i="5"/>
  <c r="M24" i="5"/>
  <c r="K24" i="5" s="1"/>
  <c r="P24" i="5" s="1"/>
  <c r="Q24" i="5" s="1"/>
  <c r="L24" i="5"/>
  <c r="H24" i="5"/>
  <c r="C24" i="5"/>
  <c r="Q23" i="2" l="1"/>
  <c r="B14" i="6"/>
  <c r="S22" i="2"/>
  <c r="D13" i="6" s="1"/>
  <c r="H22" i="2"/>
  <c r="T21" i="2"/>
  <c r="W22" i="2"/>
  <c r="X22" i="2" s="1"/>
  <c r="Y22" i="2" s="1"/>
  <c r="Z22" i="2" s="1"/>
  <c r="B25" i="2"/>
  <c r="E24" i="2"/>
  <c r="C24" i="2"/>
  <c r="P24" i="2"/>
  <c r="G23" i="2"/>
  <c r="H23" i="2" s="1"/>
  <c r="I23" i="2"/>
  <c r="J23" i="2" s="1"/>
  <c r="V22" i="1"/>
  <c r="Q22" i="4"/>
  <c r="P22" i="1"/>
  <c r="Q22" i="1" s="1"/>
  <c r="U22" i="1"/>
  <c r="N22" i="4"/>
  <c r="X22" i="4"/>
  <c r="Y22" i="4" s="1"/>
  <c r="P22" i="4"/>
  <c r="U22" i="4"/>
  <c r="M23" i="4"/>
  <c r="L23" i="4"/>
  <c r="C23" i="4"/>
  <c r="K23" i="4"/>
  <c r="B24" i="4"/>
  <c r="G24" i="1"/>
  <c r="F25" i="1"/>
  <c r="V22" i="4"/>
  <c r="H23" i="1"/>
  <c r="B24" i="1"/>
  <c r="C23" i="1"/>
  <c r="L23" i="1"/>
  <c r="K23" i="1"/>
  <c r="M23" i="1"/>
  <c r="N23" i="1" s="1"/>
  <c r="N22" i="1"/>
  <c r="L27" i="2"/>
  <c r="N26" i="2"/>
  <c r="O26" i="2" s="1"/>
  <c r="B26" i="5"/>
  <c r="M25" i="5"/>
  <c r="L25" i="5"/>
  <c r="K25" i="5"/>
  <c r="P25" i="5" s="1"/>
  <c r="Q25" i="5" s="1"/>
  <c r="H25" i="5"/>
  <c r="C25" i="5"/>
  <c r="F27" i="5"/>
  <c r="G26" i="5"/>
  <c r="Q24" i="2" l="1"/>
  <c r="B15" i="6"/>
  <c r="AA22" i="2"/>
  <c r="F13" i="6"/>
  <c r="T22" i="2"/>
  <c r="C25" i="2"/>
  <c r="B26" i="2"/>
  <c r="E25" i="2"/>
  <c r="P25" i="2"/>
  <c r="R23" i="2"/>
  <c r="S23" i="2" s="1"/>
  <c r="D14" i="6" s="1"/>
  <c r="G24" i="2"/>
  <c r="W24" i="2" s="1"/>
  <c r="X24" i="2" s="1"/>
  <c r="Y24" i="2" s="1"/>
  <c r="Z24" i="2" s="1"/>
  <c r="F15" i="6" s="1"/>
  <c r="I24" i="2"/>
  <c r="J24" i="2" s="1"/>
  <c r="W23" i="2"/>
  <c r="X23" i="2" s="1"/>
  <c r="Y23" i="2" s="1"/>
  <c r="Z23" i="2" s="1"/>
  <c r="M24" i="1"/>
  <c r="N24" i="1" s="1"/>
  <c r="C24" i="1"/>
  <c r="L24" i="1"/>
  <c r="H24" i="1"/>
  <c r="B25" i="1"/>
  <c r="K24" i="1"/>
  <c r="G25" i="1"/>
  <c r="F26" i="1"/>
  <c r="U23" i="1"/>
  <c r="V23" i="1" s="1"/>
  <c r="P23" i="1"/>
  <c r="Q23" i="1" s="1"/>
  <c r="L24" i="4"/>
  <c r="M24" i="4"/>
  <c r="N24" i="4" s="1"/>
  <c r="K24" i="4"/>
  <c r="C24" i="4"/>
  <c r="B25" i="4"/>
  <c r="N23" i="4"/>
  <c r="X23" i="4"/>
  <c r="Y23" i="4" s="1"/>
  <c r="U23" i="4"/>
  <c r="V23" i="4" s="1"/>
  <c r="P23" i="4"/>
  <c r="Q23" i="4" s="1"/>
  <c r="L28" i="2"/>
  <c r="F28" i="2"/>
  <c r="N27" i="2"/>
  <c r="O27" i="2" s="1"/>
  <c r="F28" i="5"/>
  <c r="G27" i="5"/>
  <c r="B27" i="5"/>
  <c r="M26" i="5"/>
  <c r="K26" i="5" s="1"/>
  <c r="P26" i="5" s="1"/>
  <c r="Q26" i="5" s="1"/>
  <c r="L26" i="5"/>
  <c r="H26" i="5"/>
  <c r="C26" i="5"/>
  <c r="Q25" i="2" l="1"/>
  <c r="B16" i="6"/>
  <c r="AA23" i="2"/>
  <c r="AA24" i="2" s="1"/>
  <c r="F14" i="6"/>
  <c r="E26" i="2"/>
  <c r="C26" i="2"/>
  <c r="B27" i="2"/>
  <c r="P26" i="2"/>
  <c r="R24" i="2"/>
  <c r="S24" i="2" s="1"/>
  <c r="D15" i="6" s="1"/>
  <c r="G25" i="2"/>
  <c r="H25" i="2" s="1"/>
  <c r="I25" i="2"/>
  <c r="J25" i="2" s="1"/>
  <c r="H24" i="2"/>
  <c r="T23" i="2"/>
  <c r="Q24" i="1"/>
  <c r="Y24" i="4"/>
  <c r="P24" i="1"/>
  <c r="U24" i="1"/>
  <c r="V24" i="1" s="1"/>
  <c r="M25" i="4"/>
  <c r="L25" i="4"/>
  <c r="C25" i="4"/>
  <c r="B26" i="4"/>
  <c r="K25" i="4"/>
  <c r="G26" i="1"/>
  <c r="F27" i="1"/>
  <c r="L25" i="1"/>
  <c r="C25" i="1"/>
  <c r="M25" i="1"/>
  <c r="N25" i="1" s="1"/>
  <c r="H25" i="1"/>
  <c r="B26" i="1"/>
  <c r="K25" i="1"/>
  <c r="P24" i="4"/>
  <c r="Q24" i="4" s="1"/>
  <c r="X24" i="4"/>
  <c r="U24" i="4"/>
  <c r="V24" i="4" s="1"/>
  <c r="L29" i="2"/>
  <c r="F29" i="2"/>
  <c r="N28" i="2"/>
  <c r="O28" i="2" s="1"/>
  <c r="B28" i="5"/>
  <c r="M27" i="5"/>
  <c r="K27" i="5" s="1"/>
  <c r="P27" i="5" s="1"/>
  <c r="Q27" i="5" s="1"/>
  <c r="L27" i="5"/>
  <c r="H27" i="5"/>
  <c r="C27" i="5"/>
  <c r="F29" i="5"/>
  <c r="G28" i="5"/>
  <c r="Q26" i="2" l="1"/>
  <c r="B17" i="6"/>
  <c r="T24" i="2"/>
  <c r="R25" i="2"/>
  <c r="S25" i="2" s="1"/>
  <c r="D16" i="6" s="1"/>
  <c r="G26" i="2"/>
  <c r="W26" i="2" s="1"/>
  <c r="X26" i="2" s="1"/>
  <c r="Y26" i="2" s="1"/>
  <c r="Z26" i="2" s="1"/>
  <c r="F17" i="6" s="1"/>
  <c r="I26" i="2"/>
  <c r="J26" i="2" s="1"/>
  <c r="W25" i="2"/>
  <c r="X25" i="2" s="1"/>
  <c r="Y25" i="2" s="1"/>
  <c r="Z25" i="2" s="1"/>
  <c r="E27" i="2"/>
  <c r="C27" i="2"/>
  <c r="B28" i="2"/>
  <c r="P27" i="2"/>
  <c r="Q25" i="4"/>
  <c r="X25" i="4"/>
  <c r="Y25" i="4" s="1"/>
  <c r="P25" i="4"/>
  <c r="U25" i="4"/>
  <c r="V25" i="4" s="1"/>
  <c r="C26" i="1"/>
  <c r="B27" i="1"/>
  <c r="H26" i="1"/>
  <c r="L26" i="1"/>
  <c r="M26" i="1"/>
  <c r="N26" i="1" s="1"/>
  <c r="K26" i="1"/>
  <c r="B27" i="4"/>
  <c r="L26" i="4"/>
  <c r="K26" i="4"/>
  <c r="C26" i="4"/>
  <c r="M26" i="4"/>
  <c r="U25" i="1"/>
  <c r="V25" i="1" s="1"/>
  <c r="P25" i="1"/>
  <c r="Q25" i="1" s="1"/>
  <c r="N25" i="4"/>
  <c r="F28" i="1"/>
  <c r="G27" i="1"/>
  <c r="L30" i="2"/>
  <c r="F30" i="2"/>
  <c r="N29" i="2"/>
  <c r="O29" i="2" s="1"/>
  <c r="F30" i="5"/>
  <c r="G29" i="5"/>
  <c r="B29" i="5"/>
  <c r="M28" i="5"/>
  <c r="K28" i="5" s="1"/>
  <c r="P28" i="5" s="1"/>
  <c r="Q28" i="5" s="1"/>
  <c r="L28" i="5"/>
  <c r="H28" i="5"/>
  <c r="C28" i="5"/>
  <c r="Q27" i="2" l="1"/>
  <c r="B18" i="6"/>
  <c r="AA25" i="2"/>
  <c r="F16" i="6"/>
  <c r="R26" i="2"/>
  <c r="S26" i="2" s="1"/>
  <c r="D17" i="6" s="1"/>
  <c r="H26" i="2"/>
  <c r="T25" i="2"/>
  <c r="AA26" i="2"/>
  <c r="E28" i="2"/>
  <c r="C28" i="2"/>
  <c r="B29" i="2"/>
  <c r="P28" i="2"/>
  <c r="G27" i="2"/>
  <c r="R27" i="2" s="1"/>
  <c r="I27" i="2"/>
  <c r="J27" i="2" s="1"/>
  <c r="Q26" i="1"/>
  <c r="V26" i="4"/>
  <c r="P26" i="1"/>
  <c r="U26" i="1"/>
  <c r="V26" i="1" s="1"/>
  <c r="P26" i="4"/>
  <c r="Q26" i="4" s="1"/>
  <c r="X26" i="4"/>
  <c r="Y26" i="4" s="1"/>
  <c r="U26" i="4"/>
  <c r="G28" i="1"/>
  <c r="F29" i="1"/>
  <c r="H27" i="1"/>
  <c r="C27" i="1"/>
  <c r="L27" i="1"/>
  <c r="M27" i="1"/>
  <c r="N27" i="1" s="1"/>
  <c r="B28" i="1"/>
  <c r="K27" i="1"/>
  <c r="N26" i="4"/>
  <c r="K27" i="4"/>
  <c r="C27" i="4"/>
  <c r="L27" i="4"/>
  <c r="M27" i="4"/>
  <c r="N27" i="4" s="1"/>
  <c r="B28" i="4"/>
  <c r="L31" i="2"/>
  <c r="F31" i="2"/>
  <c r="N30" i="2"/>
  <c r="O30" i="2" s="1"/>
  <c r="B30" i="5"/>
  <c r="M29" i="5"/>
  <c r="L29" i="5"/>
  <c r="K29" i="5"/>
  <c r="P29" i="5" s="1"/>
  <c r="Q29" i="5" s="1"/>
  <c r="H29" i="5"/>
  <c r="C29" i="5"/>
  <c r="F31" i="5"/>
  <c r="G30" i="5"/>
  <c r="Q28" i="2" l="1"/>
  <c r="B19" i="6"/>
  <c r="W27" i="2"/>
  <c r="X27" i="2" s="1"/>
  <c r="Y27" i="2" s="1"/>
  <c r="Z27" i="2" s="1"/>
  <c r="T26" i="2"/>
  <c r="S27" i="2"/>
  <c r="D18" i="6" s="1"/>
  <c r="G28" i="2"/>
  <c r="H28" i="2" s="1"/>
  <c r="I28" i="2"/>
  <c r="J28" i="2" s="1"/>
  <c r="H27" i="2"/>
  <c r="B30" i="2"/>
  <c r="E29" i="2"/>
  <c r="C29" i="2"/>
  <c r="P29" i="2"/>
  <c r="M28" i="1"/>
  <c r="N28" i="1" s="1"/>
  <c r="C28" i="1"/>
  <c r="L28" i="1"/>
  <c r="H28" i="1"/>
  <c r="B29" i="1"/>
  <c r="K28" i="1"/>
  <c r="C28" i="4"/>
  <c r="B29" i="4"/>
  <c r="L28" i="4"/>
  <c r="K28" i="4"/>
  <c r="M28" i="4"/>
  <c r="P27" i="4"/>
  <c r="Q27" i="4" s="1"/>
  <c r="X27" i="4"/>
  <c r="Y27" i="4" s="1"/>
  <c r="U27" i="4"/>
  <c r="G29" i="1"/>
  <c r="F30" i="1"/>
  <c r="V27" i="4"/>
  <c r="P27" i="1"/>
  <c r="Q27" i="1" s="1"/>
  <c r="U27" i="1"/>
  <c r="V27" i="1" s="1"/>
  <c r="L32" i="2"/>
  <c r="F32" i="2"/>
  <c r="N31" i="2"/>
  <c r="O31" i="2" s="1"/>
  <c r="F32" i="5"/>
  <c r="G31" i="5"/>
  <c r="B31" i="5"/>
  <c r="M30" i="5"/>
  <c r="L30" i="5"/>
  <c r="K30" i="5"/>
  <c r="P30" i="5" s="1"/>
  <c r="Q30" i="5" s="1"/>
  <c r="H30" i="5"/>
  <c r="C30" i="5"/>
  <c r="Q29" i="2" l="1"/>
  <c r="B20" i="6"/>
  <c r="AA27" i="2"/>
  <c r="F18" i="6"/>
  <c r="R28" i="2"/>
  <c r="S28" i="2" s="1"/>
  <c r="D19" i="6" s="1"/>
  <c r="T27" i="2"/>
  <c r="W28" i="2"/>
  <c r="X28" i="2" s="1"/>
  <c r="Y28" i="2" s="1"/>
  <c r="Z28" i="2" s="1"/>
  <c r="G29" i="2"/>
  <c r="R29" i="2" s="1"/>
  <c r="I29" i="2"/>
  <c r="J29" i="2" s="1"/>
  <c r="E30" i="2"/>
  <c r="C30" i="2"/>
  <c r="B31" i="2"/>
  <c r="P30" i="2"/>
  <c r="F31" i="1"/>
  <c r="G30" i="1"/>
  <c r="M29" i="4"/>
  <c r="L29" i="4"/>
  <c r="C29" i="4"/>
  <c r="K29" i="4"/>
  <c r="B30" i="4"/>
  <c r="L29" i="1"/>
  <c r="H29" i="1"/>
  <c r="B30" i="1"/>
  <c r="C29" i="1"/>
  <c r="M29" i="1"/>
  <c r="N29" i="1" s="1"/>
  <c r="K29" i="1"/>
  <c r="N28" i="4"/>
  <c r="X28" i="4"/>
  <c r="Y28" i="4" s="1"/>
  <c r="U28" i="4"/>
  <c r="V28" i="4" s="1"/>
  <c r="P28" i="4"/>
  <c r="Q28" i="4" s="1"/>
  <c r="P28" i="1"/>
  <c r="Q28" i="1" s="1"/>
  <c r="U28" i="1"/>
  <c r="V28" i="1" s="1"/>
  <c r="L33" i="2"/>
  <c r="F33" i="2"/>
  <c r="N32" i="2"/>
  <c r="O32" i="2" s="1"/>
  <c r="B32" i="5"/>
  <c r="M31" i="5"/>
  <c r="L31" i="5"/>
  <c r="K31" i="5"/>
  <c r="P31" i="5" s="1"/>
  <c r="Q31" i="5" s="1"/>
  <c r="H31" i="5"/>
  <c r="C31" i="5"/>
  <c r="F33" i="5"/>
  <c r="G33" i="5" s="1"/>
  <c r="G32" i="5"/>
  <c r="Q30" i="2" l="1"/>
  <c r="B21" i="6"/>
  <c r="AA28" i="2"/>
  <c r="F19" i="6"/>
  <c r="T28" i="2"/>
  <c r="S29" i="2"/>
  <c r="D20" i="6" s="1"/>
  <c r="W29" i="2"/>
  <c r="X29" i="2" s="1"/>
  <c r="Y29" i="2" s="1"/>
  <c r="Z29" i="2" s="1"/>
  <c r="H29" i="2"/>
  <c r="G30" i="2"/>
  <c r="W30" i="2" s="1"/>
  <c r="X30" i="2" s="1"/>
  <c r="Y30" i="2" s="1"/>
  <c r="Z30" i="2" s="1"/>
  <c r="F21" i="6" s="1"/>
  <c r="I30" i="2"/>
  <c r="J30" i="2" s="1"/>
  <c r="B32" i="2"/>
  <c r="C31" i="2"/>
  <c r="E31" i="2"/>
  <c r="P31" i="2"/>
  <c r="Y29" i="4"/>
  <c r="C30" i="1"/>
  <c r="B31" i="1"/>
  <c r="H30" i="1"/>
  <c r="L30" i="1"/>
  <c r="M30" i="1"/>
  <c r="N30" i="1" s="1"/>
  <c r="K30" i="1"/>
  <c r="P29" i="1"/>
  <c r="Q29" i="1" s="1"/>
  <c r="U29" i="1"/>
  <c r="V29" i="1" s="1"/>
  <c r="F32" i="1"/>
  <c r="G32" i="1" s="1"/>
  <c r="G31" i="1"/>
  <c r="U29" i="4"/>
  <c r="V29" i="4" s="1"/>
  <c r="X29" i="4"/>
  <c r="P29" i="4"/>
  <c r="Q29" i="4" s="1"/>
  <c r="M30" i="4"/>
  <c r="N30" i="4" s="1"/>
  <c r="C30" i="4"/>
  <c r="L30" i="4"/>
  <c r="B31" i="4"/>
  <c r="K30" i="4"/>
  <c r="N29" i="4"/>
  <c r="L34" i="2"/>
  <c r="F34" i="2"/>
  <c r="N33" i="2"/>
  <c r="O33" i="2" s="1"/>
  <c r="B33" i="5"/>
  <c r="M32" i="5"/>
  <c r="L32" i="5"/>
  <c r="K32" i="5"/>
  <c r="P32" i="5" s="1"/>
  <c r="Q32" i="5" s="1"/>
  <c r="H32" i="5"/>
  <c r="C32" i="5"/>
  <c r="Q31" i="2" l="1"/>
  <c r="B22" i="6"/>
  <c r="AA29" i="2"/>
  <c r="AA30" i="2" s="1"/>
  <c r="F20" i="6"/>
  <c r="T29" i="2"/>
  <c r="R30" i="2"/>
  <c r="S30" i="2" s="1"/>
  <c r="D21" i="6" s="1"/>
  <c r="H30" i="2"/>
  <c r="B33" i="2"/>
  <c r="E32" i="2"/>
  <c r="C32" i="2"/>
  <c r="P32" i="2"/>
  <c r="G31" i="2"/>
  <c r="R31" i="2" s="1"/>
  <c r="I31" i="2"/>
  <c r="J31" i="2" s="1"/>
  <c r="Q30" i="4"/>
  <c r="V30" i="1"/>
  <c r="X30" i="4"/>
  <c r="P30" i="4"/>
  <c r="U30" i="4"/>
  <c r="V30" i="4" s="1"/>
  <c r="P30" i="1"/>
  <c r="Q30" i="1" s="1"/>
  <c r="U30" i="1"/>
  <c r="L31" i="4"/>
  <c r="M31" i="4"/>
  <c r="N31" i="4" s="1"/>
  <c r="C31" i="4"/>
  <c r="K31" i="4"/>
  <c r="B32" i="4"/>
  <c r="Y30" i="4"/>
  <c r="H31" i="1"/>
  <c r="C31" i="1"/>
  <c r="L31" i="1"/>
  <c r="M31" i="1"/>
  <c r="N31" i="1" s="1"/>
  <c r="B32" i="1"/>
  <c r="K31" i="1"/>
  <c r="L35" i="2"/>
  <c r="F35" i="2"/>
  <c r="N34" i="2"/>
  <c r="O34" i="2" s="1"/>
  <c r="B34" i="5"/>
  <c r="M33" i="5"/>
  <c r="K33" i="5" s="1"/>
  <c r="P33" i="5" s="1"/>
  <c r="Q33" i="5" s="1"/>
  <c r="L33" i="5"/>
  <c r="H33" i="5"/>
  <c r="C33" i="5"/>
  <c r="Q32" i="2" l="1"/>
  <c r="B23" i="6"/>
  <c r="T30" i="2"/>
  <c r="W31" i="2"/>
  <c r="X31" i="2" s="1"/>
  <c r="Y31" i="2" s="1"/>
  <c r="Z31" i="2" s="1"/>
  <c r="H31" i="2"/>
  <c r="S31" i="2"/>
  <c r="D22" i="6" s="1"/>
  <c r="G32" i="2"/>
  <c r="W32" i="2" s="1"/>
  <c r="X32" i="2" s="1"/>
  <c r="Y32" i="2" s="1"/>
  <c r="Z32" i="2" s="1"/>
  <c r="F23" i="6" s="1"/>
  <c r="I32" i="2"/>
  <c r="J32" i="2" s="1"/>
  <c r="B34" i="2"/>
  <c r="E33" i="2"/>
  <c r="C33" i="2"/>
  <c r="P33" i="2"/>
  <c r="Y31" i="4"/>
  <c r="B33" i="4"/>
  <c r="L32" i="4"/>
  <c r="K32" i="4"/>
  <c r="C32" i="4"/>
  <c r="M32" i="4"/>
  <c r="N32" i="4" s="1"/>
  <c r="U31" i="1"/>
  <c r="P31" i="1"/>
  <c r="Q31" i="1" s="1"/>
  <c r="V31" i="1"/>
  <c r="M32" i="1"/>
  <c r="N32" i="1" s="1"/>
  <c r="H32" i="1"/>
  <c r="B33" i="1"/>
  <c r="C32" i="1"/>
  <c r="L32" i="1"/>
  <c r="K32" i="1"/>
  <c r="X31" i="4"/>
  <c r="P31" i="4"/>
  <c r="Q31" i="4" s="1"/>
  <c r="U31" i="4"/>
  <c r="V31" i="4" s="1"/>
  <c r="L36" i="2"/>
  <c r="F36" i="2"/>
  <c r="N35" i="2"/>
  <c r="O35" i="2" s="1"/>
  <c r="B35" i="5"/>
  <c r="M34" i="5"/>
  <c r="L34" i="5"/>
  <c r="K34" i="5"/>
  <c r="P34" i="5" s="1"/>
  <c r="Q34" i="5" s="1"/>
  <c r="H34" i="5"/>
  <c r="C34" i="5"/>
  <c r="Q33" i="2" l="1"/>
  <c r="B24" i="6"/>
  <c r="AA31" i="2"/>
  <c r="AA32" i="2" s="1"/>
  <c r="F22" i="6"/>
  <c r="T31" i="2"/>
  <c r="H32" i="2"/>
  <c r="R32" i="2"/>
  <c r="S32" i="2" s="1"/>
  <c r="D23" i="6" s="1"/>
  <c r="C34" i="2"/>
  <c r="E34" i="2"/>
  <c r="B35" i="2"/>
  <c r="P34" i="2"/>
  <c r="G33" i="2"/>
  <c r="W33" i="2" s="1"/>
  <c r="X33" i="2" s="1"/>
  <c r="Y33" i="2" s="1"/>
  <c r="Z33" i="2" s="1"/>
  <c r="F24" i="6" s="1"/>
  <c r="I33" i="2"/>
  <c r="J33" i="2" s="1"/>
  <c r="V32" i="4"/>
  <c r="K33" i="4"/>
  <c r="M33" i="4"/>
  <c r="C33" i="4"/>
  <c r="L33" i="4"/>
  <c r="B34" i="4"/>
  <c r="P32" i="4"/>
  <c r="Q32" i="4" s="1"/>
  <c r="X32" i="4"/>
  <c r="Y32" i="4" s="1"/>
  <c r="U32" i="4"/>
  <c r="P32" i="1"/>
  <c r="Q32" i="1" s="1"/>
  <c r="U32" i="1"/>
  <c r="V32" i="1" s="1"/>
  <c r="H33" i="1"/>
  <c r="L33" i="1"/>
  <c r="M33" i="1"/>
  <c r="N33" i="1" s="1"/>
  <c r="C33" i="1"/>
  <c r="B34" i="1"/>
  <c r="K33" i="1"/>
  <c r="L37" i="2"/>
  <c r="F37" i="2"/>
  <c r="N36" i="2"/>
  <c r="O36" i="2" s="1"/>
  <c r="B36" i="5"/>
  <c r="M35" i="5"/>
  <c r="L35" i="5"/>
  <c r="K35" i="5"/>
  <c r="P35" i="5" s="1"/>
  <c r="Q35" i="5" s="1"/>
  <c r="H35" i="5"/>
  <c r="C35" i="5"/>
  <c r="Q34" i="2" l="1"/>
  <c r="B25" i="6"/>
  <c r="AA33" i="2"/>
  <c r="H33" i="2"/>
  <c r="G34" i="2"/>
  <c r="W34" i="2" s="1"/>
  <c r="X34" i="2" s="1"/>
  <c r="Y34" i="2" s="1"/>
  <c r="Z34" i="2" s="1"/>
  <c r="I34" i="2"/>
  <c r="J34" i="2" s="1"/>
  <c r="C35" i="2"/>
  <c r="B36" i="2"/>
  <c r="E35" i="2"/>
  <c r="P35" i="2"/>
  <c r="R33" i="2"/>
  <c r="S33" i="2" s="1"/>
  <c r="D24" i="6" s="1"/>
  <c r="T32" i="2"/>
  <c r="V33" i="4"/>
  <c r="B35" i="1"/>
  <c r="H34" i="1"/>
  <c r="L34" i="1"/>
  <c r="M34" i="1"/>
  <c r="N34" i="1" s="1"/>
  <c r="C34" i="1"/>
  <c r="K34" i="1"/>
  <c r="N33" i="4"/>
  <c r="U33" i="1"/>
  <c r="V33" i="1" s="1"/>
  <c r="P33" i="1"/>
  <c r="Q33" i="1" s="1"/>
  <c r="L34" i="4"/>
  <c r="B35" i="4"/>
  <c r="K34" i="4"/>
  <c r="C34" i="4"/>
  <c r="M34" i="4"/>
  <c r="N34" i="4" s="1"/>
  <c r="P33" i="4"/>
  <c r="Q33" i="4" s="1"/>
  <c r="X33" i="4"/>
  <c r="Y33" i="4" s="1"/>
  <c r="U33" i="4"/>
  <c r="L38" i="2"/>
  <c r="F38" i="2"/>
  <c r="N37" i="2"/>
  <c r="O37" i="2" s="1"/>
  <c r="B37" i="5"/>
  <c r="M36" i="5"/>
  <c r="K36" i="5" s="1"/>
  <c r="P36" i="5" s="1"/>
  <c r="Q36" i="5" s="1"/>
  <c r="L36" i="5"/>
  <c r="H36" i="5"/>
  <c r="C36" i="5"/>
  <c r="Q35" i="2" l="1"/>
  <c r="B26" i="6"/>
  <c r="AA34" i="2"/>
  <c r="F25" i="6"/>
  <c r="H34" i="2"/>
  <c r="R34" i="2"/>
  <c r="S34" i="2" s="1"/>
  <c r="D25" i="6" s="1"/>
  <c r="T33" i="2"/>
  <c r="G35" i="2"/>
  <c r="R35" i="2" s="1"/>
  <c r="I35" i="2"/>
  <c r="J35" i="2" s="1"/>
  <c r="E36" i="2"/>
  <c r="C36" i="2"/>
  <c r="B37" i="2"/>
  <c r="P36" i="2"/>
  <c r="V34" i="1"/>
  <c r="U34" i="1"/>
  <c r="P34" i="1"/>
  <c r="Q34" i="1" s="1"/>
  <c r="L35" i="4"/>
  <c r="C35" i="4"/>
  <c r="M35" i="4"/>
  <c r="B36" i="4"/>
  <c r="K35" i="4"/>
  <c r="X34" i="4"/>
  <c r="Y34" i="4" s="1"/>
  <c r="P34" i="4"/>
  <c r="Q34" i="4" s="1"/>
  <c r="U34" i="4"/>
  <c r="V34" i="4" s="1"/>
  <c r="L35" i="1"/>
  <c r="C35" i="1"/>
  <c r="H35" i="1"/>
  <c r="B36" i="1"/>
  <c r="M35" i="1"/>
  <c r="N35" i="1" s="1"/>
  <c r="K35" i="1"/>
  <c r="L39" i="2"/>
  <c r="F39" i="2"/>
  <c r="N38" i="2"/>
  <c r="O38" i="2" s="1"/>
  <c r="B38" i="5"/>
  <c r="M37" i="5"/>
  <c r="L37" i="5"/>
  <c r="K37" i="5"/>
  <c r="P37" i="5" s="1"/>
  <c r="Q37" i="5" s="1"/>
  <c r="H37" i="5"/>
  <c r="C37" i="5"/>
  <c r="Q36" i="2" l="1"/>
  <c r="B27" i="6"/>
  <c r="S35" i="2"/>
  <c r="D26" i="6" s="1"/>
  <c r="T34" i="2"/>
  <c r="W35" i="2"/>
  <c r="X35" i="2" s="1"/>
  <c r="Y35" i="2" s="1"/>
  <c r="Z35" i="2" s="1"/>
  <c r="H35" i="2"/>
  <c r="G36" i="2"/>
  <c r="W36" i="2" s="1"/>
  <c r="X36" i="2" s="1"/>
  <c r="Y36" i="2" s="1"/>
  <c r="Z36" i="2" s="1"/>
  <c r="F27" i="6" s="1"/>
  <c r="I36" i="2"/>
  <c r="J36" i="2" s="1"/>
  <c r="C37" i="2"/>
  <c r="B38" i="2"/>
  <c r="E37" i="2"/>
  <c r="P37" i="2"/>
  <c r="Q35" i="1"/>
  <c r="P35" i="1"/>
  <c r="U35" i="1"/>
  <c r="V35" i="1"/>
  <c r="C36" i="1"/>
  <c r="M36" i="1"/>
  <c r="L36" i="1"/>
  <c r="H36" i="1"/>
  <c r="B37" i="1"/>
  <c r="K36" i="1"/>
  <c r="L36" i="4"/>
  <c r="C36" i="4"/>
  <c r="K36" i="4"/>
  <c r="B37" i="4"/>
  <c r="M36" i="4"/>
  <c r="N36" i="4" s="1"/>
  <c r="P35" i="4"/>
  <c r="Q35" i="4" s="1"/>
  <c r="U35" i="4"/>
  <c r="V35" i="4" s="1"/>
  <c r="X35" i="4"/>
  <c r="Y35" i="4" s="1"/>
  <c r="N35" i="4"/>
  <c r="L40" i="2"/>
  <c r="F40" i="2"/>
  <c r="N39" i="2"/>
  <c r="O39" i="2" s="1"/>
  <c r="B39" i="5"/>
  <c r="M38" i="5"/>
  <c r="K38" i="5" s="1"/>
  <c r="P38" i="5" s="1"/>
  <c r="Q38" i="5" s="1"/>
  <c r="L38" i="5"/>
  <c r="H38" i="5"/>
  <c r="C38" i="5"/>
  <c r="Q37" i="2" l="1"/>
  <c r="B28" i="6"/>
  <c r="AA35" i="2"/>
  <c r="F26" i="6"/>
  <c r="T35" i="2"/>
  <c r="H36" i="2"/>
  <c r="R36" i="2"/>
  <c r="S36" i="2" s="1"/>
  <c r="D27" i="6" s="1"/>
  <c r="AA36" i="2"/>
  <c r="B39" i="2"/>
  <c r="C38" i="2"/>
  <c r="E38" i="2"/>
  <c r="P38" i="2"/>
  <c r="G37" i="2"/>
  <c r="W37" i="2" s="1"/>
  <c r="X37" i="2" s="1"/>
  <c r="Y37" i="2" s="1"/>
  <c r="Z37" i="2" s="1"/>
  <c r="F28" i="6" s="1"/>
  <c r="I37" i="2"/>
  <c r="J37" i="2" s="1"/>
  <c r="H37" i="1"/>
  <c r="B38" i="1"/>
  <c r="L37" i="1"/>
  <c r="C37" i="1"/>
  <c r="M37" i="1"/>
  <c r="N37" i="1" s="1"/>
  <c r="K37" i="1"/>
  <c r="P36" i="4"/>
  <c r="Q36" i="4" s="1"/>
  <c r="X36" i="4"/>
  <c r="Y36" i="4" s="1"/>
  <c r="U36" i="4"/>
  <c r="V36" i="4" s="1"/>
  <c r="M37" i="4"/>
  <c r="C37" i="4"/>
  <c r="K37" i="4"/>
  <c r="L37" i="4"/>
  <c r="B38" i="4"/>
  <c r="P36" i="1"/>
  <c r="Q36" i="1" s="1"/>
  <c r="U36" i="1"/>
  <c r="V36" i="1" s="1"/>
  <c r="N36" i="1"/>
  <c r="L41" i="2"/>
  <c r="F41" i="2"/>
  <c r="N40" i="2"/>
  <c r="O40" i="2" s="1"/>
  <c r="B40" i="5"/>
  <c r="M39" i="5"/>
  <c r="K39" i="5" s="1"/>
  <c r="P39" i="5" s="1"/>
  <c r="Q39" i="5" s="1"/>
  <c r="L39" i="5"/>
  <c r="H39" i="5"/>
  <c r="C39" i="5"/>
  <c r="Q38" i="2" l="1"/>
  <c r="B29" i="6"/>
  <c r="AA37" i="2"/>
  <c r="G38" i="2"/>
  <c r="R38" i="2" s="1"/>
  <c r="I38" i="2"/>
  <c r="J38" i="2" s="1"/>
  <c r="R37" i="2"/>
  <c r="S37" i="2" s="1"/>
  <c r="D28" i="6" s="1"/>
  <c r="B40" i="2"/>
  <c r="E39" i="2"/>
  <c r="C39" i="2"/>
  <c r="P39" i="2"/>
  <c r="H37" i="2"/>
  <c r="T36" i="2"/>
  <c r="L38" i="4"/>
  <c r="C38" i="4"/>
  <c r="M38" i="4"/>
  <c r="B39" i="4"/>
  <c r="K38" i="4"/>
  <c r="N37" i="4"/>
  <c r="X37" i="4"/>
  <c r="Y37" i="4" s="1"/>
  <c r="U37" i="4"/>
  <c r="V37" i="4" s="1"/>
  <c r="P37" i="4"/>
  <c r="Q37" i="4" s="1"/>
  <c r="U37" i="1"/>
  <c r="V37" i="1" s="1"/>
  <c r="P37" i="1"/>
  <c r="Q37" i="1" s="1"/>
  <c r="B39" i="1"/>
  <c r="L38" i="1"/>
  <c r="C38" i="1"/>
  <c r="M38" i="1"/>
  <c r="H38" i="1"/>
  <c r="K38" i="1"/>
  <c r="L42" i="2"/>
  <c r="F42" i="2"/>
  <c r="N41" i="2"/>
  <c r="O41" i="2" s="1"/>
  <c r="B41" i="5"/>
  <c r="M40" i="5"/>
  <c r="L40" i="5"/>
  <c r="K40" i="5"/>
  <c r="P40" i="5" s="1"/>
  <c r="Q40" i="5" s="1"/>
  <c r="H40" i="5"/>
  <c r="C40" i="5"/>
  <c r="Q39" i="2" l="1"/>
  <c r="B30" i="6"/>
  <c r="W38" i="2"/>
  <c r="X38" i="2" s="1"/>
  <c r="Y38" i="2" s="1"/>
  <c r="Z38" i="2" s="1"/>
  <c r="S38" i="2"/>
  <c r="D29" i="6" s="1"/>
  <c r="T37" i="2"/>
  <c r="G39" i="2"/>
  <c r="H39" i="2" s="1"/>
  <c r="I39" i="2"/>
  <c r="J39" i="2" s="1"/>
  <c r="H38" i="2"/>
  <c r="B41" i="2"/>
  <c r="C40" i="2"/>
  <c r="E40" i="2"/>
  <c r="P40" i="2"/>
  <c r="C39" i="1"/>
  <c r="M39" i="1"/>
  <c r="H39" i="1"/>
  <c r="L39" i="1"/>
  <c r="B40" i="1"/>
  <c r="K39" i="1"/>
  <c r="N38" i="1"/>
  <c r="X38" i="4"/>
  <c r="Y38" i="4" s="1"/>
  <c r="U38" i="4"/>
  <c r="V38" i="4" s="1"/>
  <c r="P38" i="4"/>
  <c r="Q38" i="4" s="1"/>
  <c r="M39" i="4"/>
  <c r="L39" i="4"/>
  <c r="B40" i="4"/>
  <c r="C39" i="4"/>
  <c r="K39" i="4"/>
  <c r="P38" i="1"/>
  <c r="Q38" i="1" s="1"/>
  <c r="U38" i="1"/>
  <c r="V38" i="1" s="1"/>
  <c r="N38" i="4"/>
  <c r="L43" i="2"/>
  <c r="F43" i="2"/>
  <c r="N42" i="2"/>
  <c r="O42" i="2" s="1"/>
  <c r="B42" i="5"/>
  <c r="M41" i="5"/>
  <c r="K41" i="5" s="1"/>
  <c r="P41" i="5" s="1"/>
  <c r="Q41" i="5" s="1"/>
  <c r="L41" i="5"/>
  <c r="H41" i="5"/>
  <c r="C41" i="5"/>
  <c r="Q40" i="2" l="1"/>
  <c r="B31" i="6"/>
  <c r="AA38" i="2"/>
  <c r="F29" i="6"/>
  <c r="T38" i="2"/>
  <c r="R39" i="2"/>
  <c r="S39" i="2" s="1"/>
  <c r="D30" i="6" s="1"/>
  <c r="G40" i="2"/>
  <c r="W40" i="2" s="1"/>
  <c r="X40" i="2" s="1"/>
  <c r="Y40" i="2" s="1"/>
  <c r="Z40" i="2" s="1"/>
  <c r="F31" i="6" s="1"/>
  <c r="I40" i="2"/>
  <c r="J40" i="2" s="1"/>
  <c r="W39" i="2"/>
  <c r="X39" i="2" s="1"/>
  <c r="Y39" i="2" s="1"/>
  <c r="Z39" i="2" s="1"/>
  <c r="C41" i="2"/>
  <c r="B42" i="2"/>
  <c r="E41" i="2"/>
  <c r="P41" i="2"/>
  <c r="Q39" i="4"/>
  <c r="X39" i="4"/>
  <c r="Y39" i="4" s="1"/>
  <c r="U39" i="4"/>
  <c r="V39" i="4" s="1"/>
  <c r="P39" i="4"/>
  <c r="N39" i="4"/>
  <c r="P39" i="1"/>
  <c r="Q39" i="1" s="1"/>
  <c r="U39" i="1"/>
  <c r="V39" i="1" s="1"/>
  <c r="N39" i="1"/>
  <c r="M40" i="4"/>
  <c r="N40" i="4" s="1"/>
  <c r="B41" i="4"/>
  <c r="K40" i="4"/>
  <c r="L40" i="4"/>
  <c r="C40" i="4"/>
  <c r="H40" i="1"/>
  <c r="B41" i="1"/>
  <c r="L40" i="1"/>
  <c r="M40" i="1"/>
  <c r="N40" i="1" s="1"/>
  <c r="K40" i="1"/>
  <c r="C40" i="1"/>
  <c r="N43" i="2"/>
  <c r="O43" i="2" s="1"/>
  <c r="B43" i="5"/>
  <c r="M42" i="5"/>
  <c r="K42" i="5" s="1"/>
  <c r="P42" i="5" s="1"/>
  <c r="Q42" i="5" s="1"/>
  <c r="L42" i="5"/>
  <c r="H42" i="5"/>
  <c r="C42" i="5"/>
  <c r="Q41" i="2" l="1"/>
  <c r="B32" i="6"/>
  <c r="AA39" i="2"/>
  <c r="AA40" i="2" s="1"/>
  <c r="F30" i="6"/>
  <c r="T39" i="2"/>
  <c r="H40" i="2"/>
  <c r="R40" i="2"/>
  <c r="S40" i="2" s="1"/>
  <c r="D31" i="6" s="1"/>
  <c r="G41" i="2"/>
  <c r="H41" i="2" s="1"/>
  <c r="I41" i="2"/>
  <c r="J41" i="2" s="1"/>
  <c r="B43" i="2"/>
  <c r="C42" i="2"/>
  <c r="E42" i="2"/>
  <c r="P42" i="2"/>
  <c r="B42" i="1"/>
  <c r="L41" i="1"/>
  <c r="M41" i="1"/>
  <c r="N41" i="1" s="1"/>
  <c r="K41" i="1"/>
  <c r="C41" i="1"/>
  <c r="H41" i="1"/>
  <c r="U40" i="4"/>
  <c r="V40" i="4" s="1"/>
  <c r="X40" i="4"/>
  <c r="Y40" i="4" s="1"/>
  <c r="P40" i="4"/>
  <c r="Q40" i="4"/>
  <c r="P40" i="1"/>
  <c r="Q40" i="1" s="1"/>
  <c r="U40" i="1"/>
  <c r="V40" i="1" s="1"/>
  <c r="L41" i="4"/>
  <c r="C41" i="4"/>
  <c r="B42" i="4"/>
  <c r="K41" i="4"/>
  <c r="M41" i="4"/>
  <c r="N41" i="4" s="1"/>
  <c r="M43" i="5"/>
  <c r="K43" i="5" s="1"/>
  <c r="P43" i="5" s="1"/>
  <c r="Q43" i="5" s="1"/>
  <c r="L43" i="5"/>
  <c r="H43" i="5"/>
  <c r="C43" i="5"/>
  <c r="Q42" i="2" l="1"/>
  <c r="B33" i="6"/>
  <c r="W41" i="2"/>
  <c r="X41" i="2" s="1"/>
  <c r="Y41" i="2" s="1"/>
  <c r="Z41" i="2" s="1"/>
  <c r="R41" i="2"/>
  <c r="S41" i="2" s="1"/>
  <c r="D32" i="6" s="1"/>
  <c r="E43" i="2"/>
  <c r="C43" i="2"/>
  <c r="P43" i="2"/>
  <c r="G42" i="2"/>
  <c r="H42" i="2" s="1"/>
  <c r="I42" i="2"/>
  <c r="J42" i="2" s="1"/>
  <c r="T40" i="2"/>
  <c r="Y41" i="4"/>
  <c r="Q41" i="1"/>
  <c r="M42" i="4"/>
  <c r="C42" i="4"/>
  <c r="L42" i="4"/>
  <c r="K42" i="4"/>
  <c r="P41" i="4"/>
  <c r="X41" i="4"/>
  <c r="U41" i="4"/>
  <c r="V41" i="4" s="1"/>
  <c r="U41" i="1"/>
  <c r="V41" i="1" s="1"/>
  <c r="P41" i="1"/>
  <c r="Q41" i="4"/>
  <c r="L42" i="1"/>
  <c r="C42" i="1"/>
  <c r="M42" i="1"/>
  <c r="H42" i="1"/>
  <c r="K42" i="1"/>
  <c r="Q43" i="2" l="1"/>
  <c r="B34" i="6"/>
  <c r="AA41" i="2"/>
  <c r="F32" i="6"/>
  <c r="W42" i="2"/>
  <c r="X42" i="2" s="1"/>
  <c r="Y42" i="2" s="1"/>
  <c r="Z42" i="2" s="1"/>
  <c r="R42" i="2"/>
  <c r="S42" i="2" s="1"/>
  <c r="D33" i="6" s="1"/>
  <c r="T41" i="2"/>
  <c r="G43" i="2"/>
  <c r="W43" i="2" s="1"/>
  <c r="X43" i="2" s="1"/>
  <c r="Y43" i="2" s="1"/>
  <c r="Z43" i="2" s="1"/>
  <c r="F34" i="6" s="1"/>
  <c r="I43" i="2"/>
  <c r="J43" i="2" s="1"/>
  <c r="Y42" i="4"/>
  <c r="Q42" i="1"/>
  <c r="X42" i="4"/>
  <c r="P42" i="4"/>
  <c r="Q42" i="4" s="1"/>
  <c r="U42" i="4"/>
  <c r="V42" i="4" s="1"/>
  <c r="U42" i="1"/>
  <c r="V42" i="1" s="1"/>
  <c r="P42" i="1"/>
  <c r="N42" i="1"/>
  <c r="N42" i="4"/>
  <c r="AA42" i="2" l="1"/>
  <c r="AA43" i="2" s="1"/>
  <c r="F33" i="6"/>
  <c r="F36" i="6" s="1"/>
  <c r="T42" i="2"/>
  <c r="R43" i="2"/>
  <c r="S43" i="2" s="1"/>
  <c r="H43" i="2"/>
  <c r="J44" i="2"/>
  <c r="B36" i="6" l="1"/>
  <c r="D34" i="6"/>
  <c r="D36" i="6" s="1"/>
  <c r="T4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<sst xmlns="http://schemas.openxmlformats.org/spreadsheetml/2006/main" count="172" uniqueCount="85">
  <si>
    <t>Solar PV Payback Calculation</t>
  </si>
  <si>
    <t>Average Cost per kW Installed (£)</t>
  </si>
  <si>
    <t>Enter your own figures in ORANGE boxes</t>
  </si>
  <si>
    <t>Estimated Installed Cost (£)</t>
  </si>
  <si>
    <t>PAYBACK reached in year where cells turn GREEN in Accumulative Total</t>
  </si>
  <si>
    <t xml:space="preserve">Notes: </t>
  </si>
  <si>
    <t>Size of the Array (kWp)</t>
  </si>
  <si>
    <t>&gt; Calculations ignore the time value of money</t>
  </si>
  <si>
    <t>Load Factor</t>
  </si>
  <si>
    <t>&gt; Assumes inverter lasts 20 years</t>
  </si>
  <si>
    <t>Solar Radiation Factor</t>
  </si>
  <si>
    <t>Overshading Factor</t>
  </si>
  <si>
    <t>Estimated Output (kWh/annum)</t>
  </si>
  <si>
    <t>Assumed Annual Rate of Inflation</t>
  </si>
  <si>
    <t>% of Energy Used on Site</t>
  </si>
  <si>
    <t>Annual Increase in Energy Cost</t>
  </si>
  <si>
    <t>kWh pasaugojimo kaina</t>
  </si>
  <si>
    <t>Pasaugoto kWh kaina  %</t>
  </si>
  <si>
    <t>Saugojimas apmokamas pinigais</t>
  </si>
  <si>
    <t>Year</t>
  </si>
  <si>
    <t>Estimated Output Taking Degradation at 1% loss/year into Account (kWh/annum)</t>
  </si>
  <si>
    <t>Efficiency of Cells</t>
  </si>
  <si>
    <t>Up to 4kW FIT (ct/kWh)</t>
  </si>
  <si>
    <t>10+ kW FIT (ct/kWh)</t>
  </si>
  <si>
    <t>inflation compound factor</t>
  </si>
  <si>
    <t>FIT including inflation (ct/wKh)</t>
  </si>
  <si>
    <t>Total Generation annual income (EUR)</t>
  </si>
  <si>
    <t>Energy Used on Site (kWh)</t>
  </si>
  <si>
    <t>Energy Cost (ct)</t>
  </si>
  <si>
    <t>Savings from ALL Energy Used (EUR)</t>
  </si>
  <si>
    <t>Pasaugotos  energijos kaina (EUR)</t>
  </si>
  <si>
    <t>Pasaugotos energijos kaina kWh</t>
  </si>
  <si>
    <t>Total Income &amp; Saving per year (EUR)</t>
  </si>
  <si>
    <t>Accumulative Total (EUR)</t>
  </si>
  <si>
    <t>Metinis palaikymo kastu augimas</t>
  </si>
  <si>
    <t>Paslaugos</t>
  </si>
  <si>
    <t>dujos mokejimai</t>
  </si>
  <si>
    <t>Mažosios saulės jėgainės modelis (Gaminantis vartotojas)</t>
  </si>
  <si>
    <t>Silumos siurblys</t>
  </si>
  <si>
    <t>Solar PV station full cost</t>
  </si>
  <si>
    <t>Compensation</t>
  </si>
  <si>
    <t>Estimated Installed Cost (EUR)</t>
  </si>
  <si>
    <t>Jėgainės KW kaina, EUR</t>
  </si>
  <si>
    <t>Kompensacija, EUR už KW</t>
  </si>
  <si>
    <t>Keiskite skaičius tik geltonose langeliuose</t>
  </si>
  <si>
    <t>Išlaidos jėgainei be kompensacijos,EUR</t>
  </si>
  <si>
    <t>Žaliai nurodyti langeliai kai sutaupymai viršija investiciją</t>
  </si>
  <si>
    <t>Išlaidos jėgainei su kompensacija, EUR</t>
  </si>
  <si>
    <t>NB:</t>
  </si>
  <si>
    <t>Instaliuota galia (kWp)</t>
  </si>
  <si>
    <t>&gt; Skaičiavimai neatsižvelgia į pinigų kainą</t>
  </si>
  <si>
    <t>&gt; Per skaičiavimo laikotarpį nenumatyta jokių papildomų išlaidų (tad numatoma, kad inverteris po garantinio laikotarpio nesuges, elementai po garantinio laikotarpio nesuges, etc.)</t>
  </si>
  <si>
    <t>Numatoma gamyba (kWh/metai)</t>
  </si>
  <si>
    <t>Metinis suvartojimo didejimas</t>
  </si>
  <si>
    <t>% energijos suvartojamas tiesiogiai, nesaugant tinkle</t>
  </si>
  <si>
    <t>Metinis elektros kainos brangimas</t>
  </si>
  <si>
    <t>Metai</t>
  </si>
  <si>
    <t>Teorinė gamyba įvertinant 1% efektyvumo praradimą per metus (kWh/metai)</t>
  </si>
  <si>
    <t>Elementų efektyvumas</t>
  </si>
  <si>
    <t>Atsitiktinis produkcijos svyravimo dydis (-20 iki +20%)</t>
  </si>
  <si>
    <t>Sugeneruotas el. kiekis, kWh</t>
  </si>
  <si>
    <t>Realus energijos poreikis kWh per metus</t>
  </si>
  <si>
    <t>Sunaudota energija viduje (kWh)</t>
  </si>
  <si>
    <t>Į tinklą priduotos energijos kiekis, kWh</t>
  </si>
  <si>
    <t>Energijos balansas (sugeneruota - suvartota) kWh</t>
  </si>
  <si>
    <t>Reikalingos energijos dapirkimas, EUR</t>
  </si>
  <si>
    <t>Vidutinė dabar naudojamos el. kaina (ct)</t>
  </si>
  <si>
    <t>Vienos fazės energijos kaina(ct)</t>
  </si>
  <si>
    <t>Išlaidos be saulės jėgainės, EUR</t>
  </si>
  <si>
    <t>Sutaupymas teorinis (pagaminimas padauginas iš vieno tarifo kainos)</t>
  </si>
  <si>
    <t>Akumuliuotas teorinis sutaupymas, (EUR)</t>
  </si>
  <si>
    <t>Sutaupymas per metus (EUR)</t>
  </si>
  <si>
    <t>Akumuliuoti sutaupymai (EUR)</t>
  </si>
  <si>
    <t>Balansas, kWh</t>
  </si>
  <si>
    <t>Trūkstamas energijos dapirkimas, EUR</t>
  </si>
  <si>
    <t>Akumuliutos el. išlaidos be jėgainės</t>
  </si>
  <si>
    <t>Teorinis atsipirkimas: kiek sutaupyčiau, jei neturėdamas jėgainės būčiau pirkęs visą savo jėgainės gaminamą elektros kiekį</t>
  </si>
  <si>
    <t>Hardcore atsipirkimas: elektros kaina kurią būčiau mokėjęs be elektrinės minus pasaugojimo kaina, minus papildomai pirktos  elektros kaina. Pasaugojimas apmokamas centais</t>
  </si>
  <si>
    <t>Hardcore atsipirkimas: elektros kaina kurią būčiau mokėjęs be elektrinės minus pasaugojimo kaina, minus papildomai pirktos  elektros kaina. Pasaugojimas apmokamas kilovatvalandėmis</t>
  </si>
  <si>
    <t>METAI</t>
  </si>
  <si>
    <t>INTERNAL RATE OF RETURN investicijai skaičiavimas</t>
  </si>
  <si>
    <t>Pinigų srautas</t>
  </si>
  <si>
    <t>NB: į pirmus mestus sudedama visa investicija ir pilnų metų pajamos. Skaičiuojant su skolintais pinigais ši lentelė turi būti atitinkamai perskaičiuota</t>
  </si>
  <si>
    <t>BASELINE: kiek būčiau išleidęs elektrai, jei nebūčiau pirkęs jėgainės</t>
  </si>
  <si>
    <t>Apkrovimo faktorius (load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</si>
</sst>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\-??_);_(@_)"/>
    <numFmt numFmtId="165" formatCode="_-* #,##0_-;\-* #,##0_-;_-* \-??_-;_-@_-"/>
    <numFmt numFmtId="166" formatCode="0.0"/>
    <numFmt numFmtId="167" formatCode="0.0%"/>
    <numFmt numFmtId="168" formatCode="_-* #,##0.0_-;\-* #,##0.0_-;_-* \-??_-;_-@_-"/>
  </numFmts>
  <fonts count="33" x14ac:knownFonts="1"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color indexed="62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indexed="17"/>
      <name val="Calibri"/>
      <family val="2"/>
      <scheme val="minor"/>
    </font>
    <font>
      <b/>
      <sz val="11"/>
      <color indexed="6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47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52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46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0"/>
        <bgColor indexed="31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26"/>
      </patternFill>
    </fill>
    <fill>
      <patternFill patternType="solid">
        <fgColor theme="0"/>
        <bgColor indexed="31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2" borderId="1" applyNumberFormat="0" applyAlignment="0" applyProtection="0"/>
    <xf numFmtId="0" fontId="5" fillId="13" borderId="2" applyNumberFormat="0" applyAlignment="0" applyProtection="0"/>
    <xf numFmtId="164" fontId="22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1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5" borderId="0" applyNumberFormat="0" applyBorder="0" applyAlignment="0" applyProtection="0"/>
    <xf numFmtId="0" fontId="22" fillId="16" borderId="7" applyNumberFormat="0" applyAlignment="0" applyProtection="0"/>
    <xf numFmtId="0" fontId="14" fillId="2" borderId="8" applyNumberFormat="0" applyAlignment="0" applyProtection="0"/>
    <xf numFmtId="9" fontId="2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2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20" fillId="0" borderId="0" xfId="0" applyFont="1"/>
    <xf numFmtId="0" fontId="0" fillId="0" borderId="0" xfId="0" applyFont="1" applyAlignment="1">
      <alignment horizontal="right"/>
    </xf>
    <xf numFmtId="165" fontId="18" fillId="3" borderId="0" xfId="28" applyNumberFormat="1" applyFont="1" applyFill="1" applyBorder="1" applyAlignment="1" applyProtection="1"/>
    <xf numFmtId="0" fontId="18" fillId="3" borderId="0" xfId="0" applyFont="1" applyFill="1"/>
    <xf numFmtId="0" fontId="0" fillId="3" borderId="0" xfId="0" applyFill="1"/>
    <xf numFmtId="0" fontId="20" fillId="3" borderId="0" xfId="0" applyFont="1" applyFill="1"/>
    <xf numFmtId="0" fontId="18" fillId="0" borderId="0" xfId="0" applyFont="1" applyAlignment="1">
      <alignment horizontal="right"/>
    </xf>
    <xf numFmtId="165" fontId="18" fillId="0" borderId="0" xfId="28" applyNumberFormat="1" applyFont="1" applyFill="1" applyBorder="1" applyAlignment="1" applyProtection="1"/>
    <xf numFmtId="0" fontId="18" fillId="17" borderId="0" xfId="0" applyFont="1" applyFill="1"/>
    <xf numFmtId="0" fontId="0" fillId="17" borderId="0" xfId="0" applyFill="1"/>
    <xf numFmtId="0" fontId="0" fillId="0" borderId="0" xfId="0" applyFont="1"/>
    <xf numFmtId="9" fontId="0" fillId="0" borderId="0" xfId="0" applyNumberFormat="1"/>
    <xf numFmtId="1" fontId="18" fillId="0" borderId="0" xfId="0" applyNumberFormat="1" applyFont="1"/>
    <xf numFmtId="0" fontId="0" fillId="0" borderId="0" xfId="0" applyFont="1" applyAlignment="1">
      <alignment horizontal="right" wrapText="1"/>
    </xf>
    <xf numFmtId="9" fontId="18" fillId="3" borderId="0" xfId="0" applyNumberFormat="1" applyFont="1" applyFill="1"/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wrapText="1"/>
    </xf>
    <xf numFmtId="1" fontId="0" fillId="0" borderId="0" xfId="0" applyNumberFormat="1"/>
    <xf numFmtId="9" fontId="0" fillId="0" borderId="0" xfId="40" applyFont="1" applyFill="1" applyBorder="1" applyAlignment="1" applyProtection="1"/>
    <xf numFmtId="166" fontId="0" fillId="0" borderId="0" xfId="0" applyNumberFormat="1"/>
    <xf numFmtId="2" fontId="0" fillId="0" borderId="0" xfId="0" applyNumberFormat="1"/>
    <xf numFmtId="2" fontId="18" fillId="3" borderId="0" xfId="0" applyNumberFormat="1" applyFont="1" applyFill="1"/>
    <xf numFmtId="165" fontId="18" fillId="0" borderId="0" xfId="0" applyNumberFormat="1" applyFont="1"/>
    <xf numFmtId="0" fontId="18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40" applyFont="1" applyFill="1" applyBorder="1" applyAlignment="1" applyProtection="1">
      <alignment horizontal="right"/>
    </xf>
    <xf numFmtId="165" fontId="0" fillId="0" borderId="0" xfId="28" applyNumberFormat="1" applyFont="1" applyFill="1" applyBorder="1" applyAlignment="1" applyProtection="1"/>
    <xf numFmtId="0" fontId="13" fillId="15" borderId="0" xfId="37" applyAlignment="1">
      <alignment horizontal="right" wrapText="1"/>
    </xf>
    <xf numFmtId="167" fontId="18" fillId="3" borderId="0" xfId="0" applyNumberFormat="1" applyFont="1" applyFill="1"/>
    <xf numFmtId="164" fontId="22" fillId="3" borderId="0" xfId="28" applyFill="1"/>
    <xf numFmtId="0" fontId="7" fillId="14" borderId="0" xfId="30" applyAlignment="1">
      <alignment horizontal="right" wrapText="1"/>
    </xf>
    <xf numFmtId="1" fontId="7" fillId="14" borderId="0" xfId="30" applyNumberFormat="1"/>
    <xf numFmtId="164" fontId="22" fillId="0" borderId="0" xfId="28"/>
    <xf numFmtId="0" fontId="0" fillId="0" borderId="0" xfId="0" applyBorder="1"/>
    <xf numFmtId="0" fontId="18" fillId="0" borderId="0" xfId="0" applyFont="1" applyBorder="1"/>
    <xf numFmtId="0" fontId="11" fillId="3" borderId="1" xfId="35"/>
    <xf numFmtId="10" fontId="22" fillId="3" borderId="0" xfId="40" applyNumberFormat="1" applyFill="1"/>
    <xf numFmtId="165" fontId="11" fillId="3" borderId="1" xfId="35" applyNumberFormat="1" applyAlignment="1" applyProtection="1"/>
    <xf numFmtId="9" fontId="11" fillId="3" borderId="1" xfId="35" applyNumberFormat="1"/>
    <xf numFmtId="0" fontId="3" fillId="12" borderId="0" xfId="25" applyAlignment="1">
      <alignment horizontal="right" wrapText="1"/>
    </xf>
    <xf numFmtId="0" fontId="8" fillId="0" borderId="3" xfId="31"/>
    <xf numFmtId="0" fontId="9" fillId="0" borderId="4" xfId="32"/>
    <xf numFmtId="9" fontId="13" fillId="15" borderId="0" xfId="37" applyNumberFormat="1"/>
    <xf numFmtId="0" fontId="23" fillId="0" borderId="10" xfId="0" applyFont="1" applyBorder="1"/>
    <xf numFmtId="0" fontId="24" fillId="0" borderId="10" xfId="0" applyFont="1" applyBorder="1"/>
    <xf numFmtId="0" fontId="24" fillId="0" borderId="0" xfId="0" applyFont="1"/>
    <xf numFmtId="0" fontId="24" fillId="0" borderId="0" xfId="0" applyFont="1" applyBorder="1"/>
    <xf numFmtId="0" fontId="25" fillId="3" borderId="1" xfId="35" applyFont="1"/>
    <xf numFmtId="0" fontId="26" fillId="0" borderId="0" xfId="0" applyFont="1"/>
    <xf numFmtId="0" fontId="24" fillId="0" borderId="0" xfId="0" applyFont="1" applyAlignment="1">
      <alignment horizontal="right"/>
    </xf>
    <xf numFmtId="0" fontId="27" fillId="3" borderId="0" xfId="0" applyFont="1" applyFill="1"/>
    <xf numFmtId="0" fontId="26" fillId="3" borderId="0" xfId="0" applyFont="1" applyFill="1"/>
    <xf numFmtId="0" fontId="24" fillId="3" borderId="0" xfId="0" applyFont="1" applyFill="1"/>
    <xf numFmtId="0" fontId="24" fillId="21" borderId="0" xfId="0" applyFont="1" applyFill="1"/>
    <xf numFmtId="0" fontId="24" fillId="22" borderId="0" xfId="0" applyFont="1" applyFill="1"/>
    <xf numFmtId="0" fontId="27" fillId="0" borderId="0" xfId="0" applyFont="1" applyAlignment="1">
      <alignment horizontal="right"/>
    </xf>
    <xf numFmtId="165" fontId="24" fillId="0" borderId="0" xfId="0" applyNumberFormat="1" applyFont="1"/>
    <xf numFmtId="165" fontId="27" fillId="0" borderId="0" xfId="28" applyNumberFormat="1" applyFont="1" applyFill="1" applyBorder="1" applyAlignment="1" applyProtection="1"/>
    <xf numFmtId="0" fontId="27" fillId="17" borderId="0" xfId="0" applyFont="1" applyFill="1"/>
    <xf numFmtId="0" fontId="24" fillId="17" borderId="0" xfId="0" applyFont="1" applyFill="1"/>
    <xf numFmtId="0" fontId="24" fillId="26" borderId="0" xfId="0" applyFont="1" applyFill="1"/>
    <xf numFmtId="165" fontId="27" fillId="0" borderId="0" xfId="0" applyNumberFormat="1" applyFont="1"/>
    <xf numFmtId="168" fontId="27" fillId="3" borderId="0" xfId="28" applyNumberFormat="1" applyFont="1" applyFill="1" applyBorder="1" applyAlignment="1" applyProtection="1"/>
    <xf numFmtId="164" fontId="24" fillId="21" borderId="0" xfId="28" applyFont="1" applyFill="1"/>
    <xf numFmtId="1" fontId="27" fillId="0" borderId="0" xfId="0" applyNumberFormat="1" applyFont="1"/>
    <xf numFmtId="0" fontId="24" fillId="0" borderId="0" xfId="0" applyFont="1" applyAlignment="1">
      <alignment horizontal="right" wrapText="1"/>
    </xf>
    <xf numFmtId="0" fontId="24" fillId="20" borderId="16" xfId="0" applyFont="1" applyFill="1" applyBorder="1" applyAlignment="1">
      <alignment horizontal="center" wrapText="1"/>
    </xf>
    <xf numFmtId="0" fontId="24" fillId="20" borderId="17" xfId="0" applyFont="1" applyFill="1" applyBorder="1" applyAlignment="1">
      <alignment horizontal="center" wrapText="1"/>
    </xf>
    <xf numFmtId="0" fontId="28" fillId="24" borderId="14" xfId="30" applyFont="1" applyFill="1" applyBorder="1" applyAlignment="1">
      <alignment horizontal="center" wrapText="1"/>
    </xf>
    <xf numFmtId="0" fontId="28" fillId="24" borderId="11" xfId="30" applyFont="1" applyFill="1" applyBorder="1" applyAlignment="1">
      <alignment horizontal="center" wrapText="1"/>
    </xf>
    <xf numFmtId="0" fontId="29" fillId="23" borderId="16" xfId="0" applyFont="1" applyFill="1" applyBorder="1" applyAlignment="1">
      <alignment horizontal="center" wrapText="1"/>
    </xf>
    <xf numFmtId="0" fontId="29" fillId="23" borderId="17" xfId="0" applyFont="1" applyFill="1" applyBorder="1" applyAlignment="1">
      <alignment horizontal="center" wrapText="1"/>
    </xf>
    <xf numFmtId="0" fontId="24" fillId="0" borderId="16" xfId="0" applyFont="1" applyBorder="1" applyAlignment="1">
      <alignment horizontal="right" wrapText="1"/>
    </xf>
    <xf numFmtId="0" fontId="24" fillId="0" borderId="27" xfId="0" applyFont="1" applyBorder="1"/>
    <xf numFmtId="10" fontId="27" fillId="3" borderId="0" xfId="0" applyNumberFormat="1" applyFont="1" applyFill="1"/>
    <xf numFmtId="9" fontId="27" fillId="3" borderId="0" xfId="0" applyNumberFormat="1" applyFont="1" applyFill="1"/>
    <xf numFmtId="164" fontId="24" fillId="3" borderId="0" xfId="28" applyFont="1" applyFill="1"/>
    <xf numFmtId="0" fontId="24" fillId="20" borderId="20" xfId="0" applyFont="1" applyFill="1" applyBorder="1"/>
    <xf numFmtId="0" fontId="24" fillId="20" borderId="21" xfId="0" applyFont="1" applyFill="1" applyBorder="1"/>
    <xf numFmtId="164" fontId="24" fillId="25" borderId="22" xfId="28" applyFont="1" applyFill="1" applyBorder="1"/>
    <xf numFmtId="0" fontId="24" fillId="23" borderId="22" xfId="0" applyFont="1" applyFill="1" applyBorder="1"/>
    <xf numFmtId="164" fontId="24" fillId="25" borderId="18" xfId="28" applyFont="1" applyFill="1" applyBorder="1"/>
    <xf numFmtId="164" fontId="24" fillId="25" borderId="19" xfId="28" applyFont="1" applyFill="1" applyBorder="1"/>
    <xf numFmtId="164" fontId="24" fillId="0" borderId="0" xfId="28" applyFont="1" applyFill="1"/>
    <xf numFmtId="167" fontId="27" fillId="3" borderId="18" xfId="0" applyNumberFormat="1" applyFont="1" applyFill="1" applyBorder="1"/>
    <xf numFmtId="0" fontId="24" fillId="0" borderId="18" xfId="0" applyFont="1" applyBorder="1"/>
    <xf numFmtId="0" fontId="24" fillId="0" borderId="19" xfId="0" applyFont="1" applyBorder="1"/>
    <xf numFmtId="0" fontId="24" fillId="18" borderId="22" xfId="0" applyFont="1" applyFill="1" applyBorder="1" applyAlignment="1">
      <alignment horizontal="right" wrapText="1"/>
    </xf>
    <xf numFmtId="0" fontId="30" fillId="18" borderId="22" xfId="37" applyFont="1" applyFill="1" applyBorder="1" applyAlignment="1">
      <alignment horizontal="right" wrapText="1"/>
    </xf>
    <xf numFmtId="0" fontId="24" fillId="0" borderId="22" xfId="0" applyFont="1" applyBorder="1" applyAlignment="1">
      <alignment horizontal="right" wrapText="1"/>
    </xf>
    <xf numFmtId="0" fontId="27" fillId="0" borderId="22" xfId="0" applyFont="1" applyBorder="1" applyAlignment="1">
      <alignment horizontal="right" wrapText="1"/>
    </xf>
    <xf numFmtId="0" fontId="24" fillId="20" borderId="23" xfId="0" applyFont="1" applyFill="1" applyBorder="1" applyAlignment="1">
      <alignment wrapText="1"/>
    </xf>
    <xf numFmtId="0" fontId="24" fillId="20" borderId="24" xfId="0" applyFont="1" applyFill="1" applyBorder="1" applyAlignment="1">
      <alignment wrapText="1"/>
    </xf>
    <xf numFmtId="0" fontId="31" fillId="24" borderId="25" xfId="30" applyFont="1" applyFill="1" applyBorder="1" applyAlignment="1">
      <alignment horizontal="right" wrapText="1"/>
    </xf>
    <xf numFmtId="0" fontId="31" fillId="24" borderId="26" xfId="30" applyFont="1" applyFill="1" applyBorder="1" applyAlignment="1">
      <alignment horizontal="right" wrapText="1"/>
    </xf>
    <xf numFmtId="0" fontId="24" fillId="23" borderId="20" xfId="0" applyFont="1" applyFill="1" applyBorder="1" applyAlignment="1">
      <alignment horizontal="right" wrapText="1"/>
    </xf>
    <xf numFmtId="0" fontId="24" fillId="23" borderId="21" xfId="0" applyFont="1" applyFill="1" applyBorder="1" applyAlignment="1">
      <alignment horizontal="right" wrapText="1"/>
    </xf>
    <xf numFmtId="0" fontId="27" fillId="0" borderId="22" xfId="0" applyFont="1" applyBorder="1" applyAlignment="1">
      <alignment horizontal="left" wrapText="1"/>
    </xf>
    <xf numFmtId="0" fontId="24" fillId="0" borderId="20" xfId="0" applyFont="1" applyBorder="1" applyAlignment="1">
      <alignment horizontal="right" wrapText="1"/>
    </xf>
    <xf numFmtId="0" fontId="27" fillId="0" borderId="20" xfId="0" applyFont="1" applyBorder="1" applyAlignment="1">
      <alignment horizontal="right" wrapText="1"/>
    </xf>
    <xf numFmtId="0" fontId="27" fillId="0" borderId="21" xfId="0" applyFont="1" applyBorder="1" applyAlignment="1">
      <alignment horizontal="right" wrapText="1"/>
    </xf>
    <xf numFmtId="0" fontId="24" fillId="0" borderId="0" xfId="0" applyFont="1" applyAlignment="1">
      <alignment wrapText="1"/>
    </xf>
    <xf numFmtId="1" fontId="24" fillId="0" borderId="0" xfId="0" applyNumberFormat="1" applyFont="1"/>
    <xf numFmtId="9" fontId="24" fillId="0" borderId="0" xfId="40" applyFont="1" applyFill="1" applyBorder="1" applyAlignment="1" applyProtection="1"/>
    <xf numFmtId="9" fontId="24" fillId="0" borderId="0" xfId="0" applyNumberFormat="1" applyFont="1"/>
    <xf numFmtId="166" fontId="24" fillId="0" borderId="0" xfId="0" applyNumberFormat="1" applyFont="1"/>
    <xf numFmtId="1" fontId="24" fillId="19" borderId="0" xfId="0" applyNumberFormat="1" applyFont="1" applyFill="1"/>
    <xf numFmtId="1" fontId="24" fillId="0" borderId="0" xfId="0" applyNumberFormat="1" applyFont="1" applyAlignment="1">
      <alignment horizontal="right" wrapText="1"/>
    </xf>
    <xf numFmtId="2" fontId="27" fillId="3" borderId="0" xfId="0" applyNumberFormat="1" applyFont="1" applyFill="1"/>
    <xf numFmtId="1" fontId="24" fillId="0" borderId="18" xfId="0" applyNumberFormat="1" applyFont="1" applyBorder="1"/>
    <xf numFmtId="165" fontId="27" fillId="0" borderId="19" xfId="0" applyNumberFormat="1" applyFont="1" applyBorder="1"/>
    <xf numFmtId="1" fontId="24" fillId="0" borderId="0" xfId="0" applyNumberFormat="1" applyFont="1" applyFill="1" applyBorder="1"/>
    <xf numFmtId="165" fontId="27" fillId="23" borderId="12" xfId="0" applyNumberFormat="1" applyFont="1" applyFill="1" applyBorder="1"/>
    <xf numFmtId="0" fontId="27" fillId="0" borderId="0" xfId="0" applyFont="1" applyAlignment="1">
      <alignment horizontal="left"/>
    </xf>
    <xf numFmtId="1" fontId="27" fillId="0" borderId="0" xfId="0" applyNumberFormat="1" applyFont="1" applyBorder="1"/>
    <xf numFmtId="1" fontId="24" fillId="0" borderId="0" xfId="0" applyNumberFormat="1" applyFont="1" applyAlignment="1">
      <alignment horizontal="right"/>
    </xf>
    <xf numFmtId="9" fontId="24" fillId="0" borderId="0" xfId="40" applyFont="1" applyFill="1" applyBorder="1" applyAlignment="1" applyProtection="1">
      <alignment horizontal="right"/>
    </xf>
    <xf numFmtId="1" fontId="24" fillId="0" borderId="20" xfId="0" applyNumberFormat="1" applyFont="1" applyBorder="1"/>
    <xf numFmtId="165" fontId="27" fillId="0" borderId="21" xfId="0" applyNumberFormat="1" applyFont="1" applyBorder="1"/>
    <xf numFmtId="1" fontId="24" fillId="0" borderId="15" xfId="0" applyNumberFormat="1" applyFont="1" applyFill="1" applyBorder="1"/>
    <xf numFmtId="165" fontId="27" fillId="23" borderId="13" xfId="0" applyNumberFormat="1" applyFont="1" applyFill="1" applyBorder="1"/>
    <xf numFmtId="1" fontId="27" fillId="0" borderId="22" xfId="0" applyNumberFormat="1" applyFont="1" applyBorder="1"/>
    <xf numFmtId="10" fontId="24" fillId="0" borderId="0" xfId="0" applyNumberFormat="1" applyFont="1"/>
    <xf numFmtId="1" fontId="11" fillId="3" borderId="1" xfId="35" applyNumberFormat="1"/>
    <xf numFmtId="1" fontId="11" fillId="3" borderId="1" xfId="35" applyNumberFormat="1" applyAlignment="1">
      <alignment horizontal="right"/>
    </xf>
    <xf numFmtId="0" fontId="32" fillId="19" borderId="22" xfId="37" applyFont="1" applyFill="1" applyBorder="1" applyAlignment="1">
      <alignment horizontal="righ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22"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  <dxf>
      <font>
        <b val="0"/>
        <condense val="0"/>
        <extend val="0"/>
        <color indexed="0"/>
      </font>
      <fill>
        <patternFill patternType="solid">
          <fgColor indexed="46"/>
          <bgColor indexed="45"/>
        </patternFill>
      </fill>
    </dxf>
    <dxf>
      <font>
        <b val="0"/>
        <condense val="0"/>
        <extend val="0"/>
        <color indexed="0"/>
      </font>
      <fill>
        <patternFill patternType="solid">
          <fgColor indexed="31"/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20884"/>
      <rgbColor rgb="0000FFFF"/>
      <rgbColor rgb="00800000"/>
      <rgbColor rgb="00006411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58C"/>
      <rgbColor rgb="00CCFFFF"/>
      <rgbColor rgb="00660066"/>
      <rgbColor rgb="00FEA746"/>
      <rgbColor rgb="000066CC"/>
      <rgbColor rgb="00A2BD9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"/>
  <sheetViews>
    <sheetView showGridLines="0" topLeftCell="B1" zoomScale="70" zoomScaleNormal="70" workbookViewId="0">
      <selection activeCell="V13" sqref="V13"/>
    </sheetView>
  </sheetViews>
  <sheetFormatPr defaultColWidth="11" defaultRowHeight="12.75" x14ac:dyDescent="0.2"/>
  <cols>
    <col min="1" max="1" width="7.625" customWidth="1"/>
    <col min="2" max="2" width="19.625" customWidth="1"/>
    <col min="3" max="10" width="11" customWidth="1"/>
    <col min="11" max="15" width="11.75" customWidth="1"/>
    <col min="16" max="16" width="12.375" style="1" customWidth="1"/>
    <col min="17" max="17" width="13.75" customWidth="1"/>
    <col min="18" max="18" width="6.375" customWidth="1"/>
  </cols>
  <sheetData>
    <row r="1" spans="1:23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</row>
    <row r="2" spans="1:23" x14ac:dyDescent="0.2">
      <c r="H2" s="5"/>
    </row>
    <row r="3" spans="1:23" x14ac:dyDescent="0.2">
      <c r="B3" s="6" t="s">
        <v>1</v>
      </c>
      <c r="C3" s="7">
        <v>900</v>
      </c>
      <c r="E3" s="8" t="s">
        <v>2</v>
      </c>
      <c r="F3" s="8"/>
      <c r="G3" s="9"/>
      <c r="H3" s="10"/>
      <c r="I3" s="10"/>
      <c r="J3" s="9"/>
      <c r="K3" s="9"/>
      <c r="L3" s="9"/>
      <c r="M3" s="9"/>
      <c r="N3" s="9"/>
      <c r="O3" s="9"/>
    </row>
    <row r="4" spans="1:23" x14ac:dyDescent="0.2">
      <c r="B4" s="11" t="s">
        <v>3</v>
      </c>
      <c r="C4" s="12">
        <f>C3*C6</f>
        <v>4500</v>
      </c>
      <c r="D4" s="12"/>
      <c r="E4" s="13" t="s">
        <v>4</v>
      </c>
      <c r="F4" s="13"/>
      <c r="G4" s="14"/>
      <c r="H4" s="14"/>
      <c r="I4" s="14"/>
      <c r="J4" s="14"/>
      <c r="K4" s="14"/>
      <c r="L4" s="14"/>
      <c r="M4" s="14"/>
      <c r="N4" s="14"/>
      <c r="O4" s="14"/>
      <c r="Q4" s="1"/>
    </row>
    <row r="5" spans="1:23" x14ac:dyDescent="0.2">
      <c r="E5" s="15" t="s">
        <v>5</v>
      </c>
      <c r="F5" s="15"/>
      <c r="H5" s="5"/>
    </row>
    <row r="6" spans="1:23" x14ac:dyDescent="0.2">
      <c r="B6" s="6" t="s">
        <v>6</v>
      </c>
      <c r="C6" s="7">
        <v>5</v>
      </c>
      <c r="E6" s="15" t="s">
        <v>7</v>
      </c>
      <c r="F6" s="15"/>
      <c r="H6" s="5"/>
    </row>
    <row r="7" spans="1:23" x14ac:dyDescent="0.2">
      <c r="B7" s="6" t="s">
        <v>8</v>
      </c>
      <c r="C7">
        <v>1</v>
      </c>
      <c r="E7" s="15" t="s">
        <v>9</v>
      </c>
      <c r="F7" s="15"/>
      <c r="H7" s="5"/>
    </row>
    <row r="8" spans="1:23" x14ac:dyDescent="0.2">
      <c r="B8" s="6" t="s">
        <v>10</v>
      </c>
      <c r="C8" s="8">
        <v>1000</v>
      </c>
    </row>
    <row r="9" spans="1:23" x14ac:dyDescent="0.2">
      <c r="B9" s="6" t="s">
        <v>11</v>
      </c>
      <c r="C9" s="8">
        <v>1</v>
      </c>
      <c r="G9" s="16">
        <f>1+G11</f>
        <v>1.03</v>
      </c>
    </row>
    <row r="10" spans="1:23" ht="57.75" customHeight="1" x14ac:dyDescent="0.2">
      <c r="B10" s="6" t="s">
        <v>12</v>
      </c>
      <c r="C10" s="17">
        <f>C6*C7*C8*C9</f>
        <v>5000</v>
      </c>
      <c r="G10" s="18" t="s">
        <v>13</v>
      </c>
      <c r="I10" s="18" t="s">
        <v>14</v>
      </c>
      <c r="J10" s="18" t="s">
        <v>15</v>
      </c>
      <c r="L10" s="18" t="s">
        <v>16</v>
      </c>
      <c r="M10" s="18" t="s">
        <v>17</v>
      </c>
      <c r="P10" s="18" t="s">
        <v>18</v>
      </c>
    </row>
    <row r="11" spans="1:23" x14ac:dyDescent="0.2">
      <c r="B11" s="6"/>
      <c r="G11" s="19">
        <v>0.03</v>
      </c>
      <c r="I11" s="19">
        <v>0.7</v>
      </c>
      <c r="J11" s="19">
        <v>0.02</v>
      </c>
      <c r="L11" s="35">
        <v>3.9</v>
      </c>
      <c r="M11" s="34">
        <v>0.36</v>
      </c>
      <c r="P11" s="12"/>
    </row>
    <row r="12" spans="1:23" s="22" customFormat="1" ht="75" x14ac:dyDescent="0.25">
      <c r="A12" s="18" t="s">
        <v>19</v>
      </c>
      <c r="B12" s="18" t="s">
        <v>20</v>
      </c>
      <c r="C12" s="18" t="s">
        <v>21</v>
      </c>
      <c r="D12" s="33" t="s">
        <v>22</v>
      </c>
      <c r="E12" s="33" t="s">
        <v>23</v>
      </c>
      <c r="F12" s="33" t="s">
        <v>24</v>
      </c>
      <c r="G12" s="33" t="s">
        <v>25</v>
      </c>
      <c r="H12" s="33" t="s">
        <v>26</v>
      </c>
      <c r="I12" s="18" t="s">
        <v>27</v>
      </c>
      <c r="J12" s="18" t="s">
        <v>28</v>
      </c>
      <c r="K12" s="36" t="s">
        <v>29</v>
      </c>
      <c r="L12" s="20" t="s">
        <v>30</v>
      </c>
      <c r="M12" s="20" t="s">
        <v>31</v>
      </c>
      <c r="N12" s="20"/>
      <c r="O12" s="20"/>
      <c r="P12" s="20" t="s">
        <v>32</v>
      </c>
      <c r="Q12" s="20" t="s">
        <v>33</v>
      </c>
      <c r="R12" s="21" t="s">
        <v>19</v>
      </c>
      <c r="V12" s="20" t="s">
        <v>33</v>
      </c>
      <c r="W12" s="21" t="s">
        <v>19</v>
      </c>
    </row>
    <row r="13" spans="1:23" ht="15" x14ac:dyDescent="0.25">
      <c r="A13">
        <v>1</v>
      </c>
      <c r="B13" s="23">
        <f>C10</f>
        <v>5000</v>
      </c>
      <c r="C13" s="24">
        <v>1</v>
      </c>
      <c r="D13" s="25">
        <v>14.9</v>
      </c>
      <c r="E13" s="25">
        <v>12.57</v>
      </c>
      <c r="F13" s="26">
        <f>G9</f>
        <v>1.03</v>
      </c>
      <c r="G13" s="25">
        <f>IF(C$6&lt;=4,D13,E13)</f>
        <v>12.57</v>
      </c>
      <c r="H13" s="12">
        <f>B13*G13/100</f>
        <v>628.5</v>
      </c>
      <c r="I13" s="23">
        <f>B13*I$11</f>
        <v>3500</v>
      </c>
      <c r="J13" s="27">
        <v>11</v>
      </c>
      <c r="K13" s="37">
        <f>B13*J13/100</f>
        <v>550</v>
      </c>
      <c r="L13" s="17">
        <f>(B13-I13)*$L$11/100</f>
        <v>58.5</v>
      </c>
      <c r="M13" s="17">
        <f>(B13-I13)*$M$11</f>
        <v>540</v>
      </c>
      <c r="N13" s="38">
        <f>M13/L13</f>
        <v>9.2307692307692299</v>
      </c>
      <c r="O13" s="17"/>
      <c r="P13" s="28">
        <f>K13-L13</f>
        <v>491.5</v>
      </c>
      <c r="Q13" s="28">
        <f>P13</f>
        <v>491.5</v>
      </c>
      <c r="R13" s="29">
        <v>1</v>
      </c>
      <c r="U13" s="23">
        <f>K13</f>
        <v>550</v>
      </c>
      <c r="V13" s="28">
        <f>U13</f>
        <v>550</v>
      </c>
      <c r="W13" s="29">
        <v>1</v>
      </c>
    </row>
    <row r="14" spans="1:23" ht="15" x14ac:dyDescent="0.25">
      <c r="A14">
        <v>2</v>
      </c>
      <c r="B14" s="30">
        <f>B13</f>
        <v>5000</v>
      </c>
      <c r="C14" s="31">
        <f>B14/B$13</f>
        <v>1</v>
      </c>
      <c r="D14" s="25">
        <v>14.9</v>
      </c>
      <c r="E14" s="25">
        <v>12.57</v>
      </c>
      <c r="F14" s="26">
        <f>F13*$G$9</f>
        <v>1.0609</v>
      </c>
      <c r="G14" s="25">
        <f>IF(C$6&lt;=4,D14*F14,E14*F14)</f>
        <v>13.335512999999999</v>
      </c>
      <c r="H14" s="12">
        <f t="shared" ref="H14:H37" si="0">B14*G14/100</f>
        <v>666.77564999999993</v>
      </c>
      <c r="I14" s="23">
        <f>I13</f>
        <v>3500</v>
      </c>
      <c r="J14" s="23">
        <f>J13+(J13*J$11)</f>
        <v>11.22</v>
      </c>
      <c r="K14" s="37">
        <f t="shared" ref="K14:K42" si="1">B14*J14/100</f>
        <v>561</v>
      </c>
      <c r="L14" s="17">
        <f t="shared" ref="L14:L42" si="2">(B14-I14)*$L$11/100</f>
        <v>58.5</v>
      </c>
      <c r="M14" s="17">
        <f t="shared" ref="M14:M42" si="3">(B14-I14)*$M$11</f>
        <v>540</v>
      </c>
      <c r="N14" s="38">
        <f t="shared" ref="N14:N42" si="4">M14/L14</f>
        <v>9.2307692307692299</v>
      </c>
      <c r="O14" s="17"/>
      <c r="P14" s="28">
        <f t="shared" ref="P14:P42" si="5">K14-L14</f>
        <v>502.5</v>
      </c>
      <c r="Q14" s="28">
        <f>Q13+P14</f>
        <v>994</v>
      </c>
      <c r="R14" s="29">
        <v>2</v>
      </c>
      <c r="U14" s="23">
        <f t="shared" ref="U14:U42" si="6">K14</f>
        <v>561</v>
      </c>
      <c r="V14" s="28">
        <f>V13+U14</f>
        <v>1111</v>
      </c>
      <c r="W14" s="29">
        <v>2</v>
      </c>
    </row>
    <row r="15" spans="1:23" ht="15" x14ac:dyDescent="0.25">
      <c r="A15">
        <v>3</v>
      </c>
      <c r="B15" s="30">
        <f>B14</f>
        <v>5000</v>
      </c>
      <c r="C15" s="31">
        <f t="shared" ref="C15:C42" si="7">B15/B$13</f>
        <v>1</v>
      </c>
      <c r="D15" s="25">
        <v>14.9</v>
      </c>
      <c r="E15" s="25">
        <v>12.57</v>
      </c>
      <c r="F15" s="26">
        <f t="shared" ref="F15:F32" si="8">F14*$G$9</f>
        <v>1.092727</v>
      </c>
      <c r="G15" s="25">
        <f>IF(C$6&lt;=4,D15*F15,E15*F15)</f>
        <v>13.735578390000001</v>
      </c>
      <c r="H15" s="12">
        <f t="shared" si="0"/>
        <v>686.77891950000003</v>
      </c>
      <c r="I15" s="23">
        <f t="shared" ref="I15:I42" si="9">I14</f>
        <v>3500</v>
      </c>
      <c r="J15" s="23">
        <f t="shared" ref="J15:J37" si="10">J14+(J14*J$11)</f>
        <v>11.4444</v>
      </c>
      <c r="K15" s="37">
        <f t="shared" si="1"/>
        <v>572.22</v>
      </c>
      <c r="L15" s="17">
        <f t="shared" si="2"/>
        <v>58.5</v>
      </c>
      <c r="M15" s="17">
        <f t="shared" si="3"/>
        <v>540</v>
      </c>
      <c r="N15" s="38">
        <f t="shared" si="4"/>
        <v>9.2307692307692299</v>
      </c>
      <c r="O15" s="17"/>
      <c r="P15" s="28">
        <f t="shared" si="5"/>
        <v>513.72</v>
      </c>
      <c r="Q15" s="28">
        <f t="shared" ref="Q15:Q37" si="11">Q14+P15</f>
        <v>1507.72</v>
      </c>
      <c r="R15" s="29">
        <v>3</v>
      </c>
      <c r="U15" s="23">
        <f t="shared" si="6"/>
        <v>572.22</v>
      </c>
      <c r="V15" s="28">
        <f t="shared" ref="V15:V37" si="12">V14+U15</f>
        <v>1683.22</v>
      </c>
      <c r="W15" s="29">
        <v>3</v>
      </c>
    </row>
    <row r="16" spans="1:23" ht="15" x14ac:dyDescent="0.25">
      <c r="A16">
        <v>4</v>
      </c>
      <c r="B16" s="30">
        <f t="shared" ref="B16:B37" si="13">B15-(1%*B15)</f>
        <v>4950</v>
      </c>
      <c r="C16" s="31">
        <f t="shared" si="7"/>
        <v>0.99</v>
      </c>
      <c r="D16" s="25">
        <v>14.9</v>
      </c>
      <c r="E16" s="25">
        <v>12.57</v>
      </c>
      <c r="F16" s="26">
        <f t="shared" si="8"/>
        <v>1.1255088100000001</v>
      </c>
      <c r="G16" s="25">
        <f t="shared" ref="G16:G32" si="14">IF(C$6&lt;=4,D16*F16,E16*F16)</f>
        <v>14.147645741700002</v>
      </c>
      <c r="H16" s="12">
        <f t="shared" si="0"/>
        <v>700.30846421415015</v>
      </c>
      <c r="I16" s="23">
        <f t="shared" si="9"/>
        <v>3500</v>
      </c>
      <c r="J16" s="23">
        <f t="shared" si="10"/>
        <v>11.673287999999999</v>
      </c>
      <c r="K16" s="37">
        <f t="shared" si="1"/>
        <v>577.82775600000002</v>
      </c>
      <c r="L16" s="17">
        <f t="shared" si="2"/>
        <v>56.55</v>
      </c>
      <c r="M16" s="17">
        <f t="shared" si="3"/>
        <v>522</v>
      </c>
      <c r="N16" s="38">
        <f t="shared" si="4"/>
        <v>9.2307692307692317</v>
      </c>
      <c r="O16" s="17"/>
      <c r="P16" s="28">
        <f t="shared" si="5"/>
        <v>521.27775600000007</v>
      </c>
      <c r="Q16" s="28">
        <f t="shared" si="11"/>
        <v>2028.9977560000002</v>
      </c>
      <c r="R16" s="29">
        <v>4</v>
      </c>
      <c r="U16" s="23">
        <f t="shared" si="6"/>
        <v>577.82775600000002</v>
      </c>
      <c r="V16" s="28">
        <f t="shared" si="12"/>
        <v>2261.0477559999999</v>
      </c>
      <c r="W16" s="29">
        <v>4</v>
      </c>
    </row>
    <row r="17" spans="1:23" ht="15" x14ac:dyDescent="0.25">
      <c r="A17">
        <v>5</v>
      </c>
      <c r="B17" s="30">
        <f t="shared" si="13"/>
        <v>4900.5</v>
      </c>
      <c r="C17" s="31">
        <f t="shared" si="7"/>
        <v>0.98009999999999997</v>
      </c>
      <c r="D17" s="25">
        <v>14.9</v>
      </c>
      <c r="E17" s="25">
        <v>12.57</v>
      </c>
      <c r="F17" s="26">
        <f t="shared" si="8"/>
        <v>1.1592740743000001</v>
      </c>
      <c r="G17" s="25">
        <f t="shared" si="14"/>
        <v>14.572075113951001</v>
      </c>
      <c r="H17" s="12">
        <f t="shared" si="0"/>
        <v>714.10454095916884</v>
      </c>
      <c r="I17" s="23">
        <f t="shared" si="9"/>
        <v>3500</v>
      </c>
      <c r="J17" s="23">
        <f t="shared" si="10"/>
        <v>11.906753759999999</v>
      </c>
      <c r="K17" s="37">
        <f t="shared" si="1"/>
        <v>583.49046800879989</v>
      </c>
      <c r="L17" s="17">
        <f t="shared" si="2"/>
        <v>54.619499999999995</v>
      </c>
      <c r="M17" s="17">
        <f t="shared" si="3"/>
        <v>504.18</v>
      </c>
      <c r="N17" s="38">
        <f t="shared" si="4"/>
        <v>9.2307692307692317</v>
      </c>
      <c r="O17" s="17"/>
      <c r="P17" s="28">
        <f t="shared" si="5"/>
        <v>528.87096800879988</v>
      </c>
      <c r="Q17" s="28">
        <f t="shared" si="11"/>
        <v>2557.8687240088002</v>
      </c>
      <c r="R17" s="29">
        <v>5</v>
      </c>
      <c r="U17" s="23">
        <f t="shared" si="6"/>
        <v>583.49046800879989</v>
      </c>
      <c r="V17" s="28">
        <f t="shared" si="12"/>
        <v>2844.5382240087997</v>
      </c>
      <c r="W17" s="29">
        <v>5</v>
      </c>
    </row>
    <row r="18" spans="1:23" ht="15" x14ac:dyDescent="0.25">
      <c r="A18">
        <v>6</v>
      </c>
      <c r="B18" s="30">
        <f t="shared" si="13"/>
        <v>4851.4949999999999</v>
      </c>
      <c r="C18" s="31">
        <f t="shared" si="7"/>
        <v>0.97029900000000002</v>
      </c>
      <c r="D18" s="25">
        <v>14.9</v>
      </c>
      <c r="E18" s="25">
        <v>12.57</v>
      </c>
      <c r="F18" s="26">
        <f t="shared" si="8"/>
        <v>1.1940522965290001</v>
      </c>
      <c r="G18" s="25">
        <f t="shared" si="14"/>
        <v>15.009237367369533</v>
      </c>
      <c r="H18" s="12">
        <f t="shared" si="0"/>
        <v>728.17240041606453</v>
      </c>
      <c r="I18" s="23">
        <f t="shared" si="9"/>
        <v>3500</v>
      </c>
      <c r="J18" s="23">
        <f t="shared" si="10"/>
        <v>12.1448888352</v>
      </c>
      <c r="K18" s="37">
        <f t="shared" si="1"/>
        <v>589.2086745952862</v>
      </c>
      <c r="L18" s="17">
        <f t="shared" si="2"/>
        <v>52.708304999999989</v>
      </c>
      <c r="M18" s="17">
        <f t="shared" si="3"/>
        <v>486.53819999999996</v>
      </c>
      <c r="N18" s="38">
        <f t="shared" si="4"/>
        <v>9.2307692307692317</v>
      </c>
      <c r="O18" s="17"/>
      <c r="P18" s="28">
        <f t="shared" si="5"/>
        <v>536.5003695952862</v>
      </c>
      <c r="Q18" s="28">
        <f t="shared" si="11"/>
        <v>3094.3690936040866</v>
      </c>
      <c r="R18" s="29">
        <v>6</v>
      </c>
      <c r="U18" s="23">
        <f t="shared" si="6"/>
        <v>589.2086745952862</v>
      </c>
      <c r="V18" s="28">
        <f t="shared" si="12"/>
        <v>3433.7468986040858</v>
      </c>
      <c r="W18" s="29">
        <v>6</v>
      </c>
    </row>
    <row r="19" spans="1:23" ht="15" x14ac:dyDescent="0.25">
      <c r="A19">
        <v>7</v>
      </c>
      <c r="B19" s="30">
        <f t="shared" si="13"/>
        <v>4802.9800500000001</v>
      </c>
      <c r="C19" s="31">
        <f t="shared" si="7"/>
        <v>0.96059601000000006</v>
      </c>
      <c r="D19" s="25">
        <v>14.9</v>
      </c>
      <c r="E19" s="25">
        <v>12.57</v>
      </c>
      <c r="F19" s="26">
        <f t="shared" si="8"/>
        <v>1.2298738654248702</v>
      </c>
      <c r="G19" s="25">
        <f t="shared" si="14"/>
        <v>15.459514488390619</v>
      </c>
      <c r="H19" s="12">
        <f t="shared" si="0"/>
        <v>742.51739670426105</v>
      </c>
      <c r="I19" s="23">
        <f t="shared" si="9"/>
        <v>3500</v>
      </c>
      <c r="J19" s="23">
        <f t="shared" si="10"/>
        <v>12.387786611904</v>
      </c>
      <c r="K19" s="37">
        <f t="shared" si="1"/>
        <v>594.98291960632002</v>
      </c>
      <c r="L19" s="17">
        <f t="shared" si="2"/>
        <v>50.816221949999999</v>
      </c>
      <c r="M19" s="17">
        <f t="shared" si="3"/>
        <v>469.07281800000004</v>
      </c>
      <c r="N19" s="38">
        <f t="shared" si="4"/>
        <v>9.2307692307692317</v>
      </c>
      <c r="O19" s="17"/>
      <c r="P19" s="28">
        <f t="shared" si="5"/>
        <v>544.16669765632003</v>
      </c>
      <c r="Q19" s="28">
        <f t="shared" si="11"/>
        <v>3638.5357912604068</v>
      </c>
      <c r="R19" s="29">
        <v>7</v>
      </c>
      <c r="U19" s="23">
        <f t="shared" si="6"/>
        <v>594.98291960632002</v>
      </c>
      <c r="V19" s="28">
        <f t="shared" si="12"/>
        <v>4028.7298182104059</v>
      </c>
      <c r="W19" s="29">
        <v>7</v>
      </c>
    </row>
    <row r="20" spans="1:23" ht="15" x14ac:dyDescent="0.25">
      <c r="A20">
        <v>8</v>
      </c>
      <c r="B20" s="30">
        <f t="shared" si="13"/>
        <v>4754.9502494999997</v>
      </c>
      <c r="C20" s="31">
        <f t="shared" si="7"/>
        <v>0.95099004989999991</v>
      </c>
      <c r="D20" s="25">
        <v>14.9</v>
      </c>
      <c r="E20" s="25">
        <v>12.57</v>
      </c>
      <c r="F20" s="26">
        <f t="shared" si="8"/>
        <v>1.2667700813876164</v>
      </c>
      <c r="G20" s="25">
        <f t="shared" si="14"/>
        <v>15.923299923042338</v>
      </c>
      <c r="H20" s="12">
        <f t="shared" si="0"/>
        <v>757.14498941933493</v>
      </c>
      <c r="I20" s="23">
        <f t="shared" si="9"/>
        <v>3500</v>
      </c>
      <c r="J20" s="23">
        <f t="shared" si="10"/>
        <v>12.635542344142079</v>
      </c>
      <c r="K20" s="37">
        <f t="shared" si="1"/>
        <v>600.8137522184619</v>
      </c>
      <c r="L20" s="17">
        <f t="shared" si="2"/>
        <v>48.943059730499989</v>
      </c>
      <c r="M20" s="17">
        <f t="shared" si="3"/>
        <v>451.7820898199999</v>
      </c>
      <c r="N20" s="38">
        <f t="shared" si="4"/>
        <v>9.2307692307692299</v>
      </c>
      <c r="O20" s="17"/>
      <c r="P20" s="28">
        <f t="shared" si="5"/>
        <v>551.87069248796195</v>
      </c>
      <c r="Q20" s="28">
        <f t="shared" si="11"/>
        <v>4190.4064837483684</v>
      </c>
      <c r="R20" s="29">
        <v>8</v>
      </c>
      <c r="U20" s="23">
        <f t="shared" si="6"/>
        <v>600.8137522184619</v>
      </c>
      <c r="V20" s="28">
        <f t="shared" si="12"/>
        <v>4629.5435704288675</v>
      </c>
      <c r="W20" s="29">
        <v>8</v>
      </c>
    </row>
    <row r="21" spans="1:23" ht="15" x14ac:dyDescent="0.25">
      <c r="A21">
        <v>9</v>
      </c>
      <c r="B21" s="30">
        <f t="shared" si="13"/>
        <v>4707.4007470050001</v>
      </c>
      <c r="C21" s="31">
        <f t="shared" si="7"/>
        <v>0.941480149401</v>
      </c>
      <c r="D21" s="25">
        <v>14.9</v>
      </c>
      <c r="E21" s="25">
        <v>12.57</v>
      </c>
      <c r="F21" s="26">
        <f t="shared" si="8"/>
        <v>1.3047731838292449</v>
      </c>
      <c r="G21" s="25">
        <f t="shared" si="14"/>
        <v>16.40099892073361</v>
      </c>
      <c r="H21" s="12">
        <f t="shared" si="0"/>
        <v>772.06074571089596</v>
      </c>
      <c r="I21" s="23">
        <f t="shared" si="9"/>
        <v>3500</v>
      </c>
      <c r="J21" s="23">
        <f t="shared" si="10"/>
        <v>12.888253191024921</v>
      </c>
      <c r="K21" s="37">
        <f t="shared" si="1"/>
        <v>606.70172699020293</v>
      </c>
      <c r="L21" s="17">
        <f t="shared" si="2"/>
        <v>47.088629133194999</v>
      </c>
      <c r="M21" s="17">
        <f t="shared" si="3"/>
        <v>434.66426892179999</v>
      </c>
      <c r="N21" s="38">
        <f t="shared" si="4"/>
        <v>9.2307692307692299</v>
      </c>
      <c r="O21" s="17"/>
      <c r="P21" s="28">
        <f t="shared" si="5"/>
        <v>559.61309785700792</v>
      </c>
      <c r="Q21" s="28">
        <f t="shared" si="11"/>
        <v>4750.0195816053765</v>
      </c>
      <c r="R21" s="29">
        <v>9</v>
      </c>
      <c r="U21" s="23">
        <f t="shared" si="6"/>
        <v>606.70172699020293</v>
      </c>
      <c r="V21" s="28">
        <f t="shared" si="12"/>
        <v>5236.2452974190701</v>
      </c>
      <c r="W21" s="29">
        <v>9</v>
      </c>
    </row>
    <row r="22" spans="1:23" ht="15" x14ac:dyDescent="0.25">
      <c r="A22">
        <v>10</v>
      </c>
      <c r="B22" s="30">
        <f t="shared" si="13"/>
        <v>4660.3267395349503</v>
      </c>
      <c r="C22" s="31">
        <f t="shared" si="7"/>
        <v>0.93206534790699003</v>
      </c>
      <c r="D22" s="25">
        <v>14.9</v>
      </c>
      <c r="E22" s="25">
        <v>12.57</v>
      </c>
      <c r="F22" s="26">
        <f t="shared" si="8"/>
        <v>1.3439163793441222</v>
      </c>
      <c r="G22" s="25">
        <f t="shared" si="14"/>
        <v>16.893028888355616</v>
      </c>
      <c r="H22" s="12">
        <f t="shared" si="0"/>
        <v>787.27034240140051</v>
      </c>
      <c r="I22" s="23">
        <f t="shared" si="9"/>
        <v>3500</v>
      </c>
      <c r="J22" s="23">
        <f t="shared" si="10"/>
        <v>13.146018254845419</v>
      </c>
      <c r="K22" s="37">
        <f t="shared" si="1"/>
        <v>612.64740391470684</v>
      </c>
      <c r="L22" s="17">
        <f t="shared" si="2"/>
        <v>45.252742841863068</v>
      </c>
      <c r="M22" s="17">
        <f t="shared" si="3"/>
        <v>417.71762623258212</v>
      </c>
      <c r="N22" s="38">
        <f t="shared" si="4"/>
        <v>9.2307692307692299</v>
      </c>
      <c r="O22" s="17"/>
      <c r="P22" s="28">
        <f t="shared" si="5"/>
        <v>567.39466107284375</v>
      </c>
      <c r="Q22" s="28">
        <f t="shared" si="11"/>
        <v>5317.41424267822</v>
      </c>
      <c r="R22" s="29">
        <v>10</v>
      </c>
      <c r="U22" s="23">
        <f t="shared" si="6"/>
        <v>612.64740391470684</v>
      </c>
      <c r="V22" s="28">
        <f t="shared" si="12"/>
        <v>5848.892701333777</v>
      </c>
      <c r="W22" s="29">
        <v>10</v>
      </c>
    </row>
    <row r="23" spans="1:23" ht="15" x14ac:dyDescent="0.25">
      <c r="A23">
        <v>11</v>
      </c>
      <c r="B23" s="30">
        <f t="shared" si="13"/>
        <v>4613.7234721396007</v>
      </c>
      <c r="C23" s="31">
        <f t="shared" si="7"/>
        <v>0.92274469442792018</v>
      </c>
      <c r="D23" s="25">
        <v>14.9</v>
      </c>
      <c r="E23" s="25">
        <v>12.57</v>
      </c>
      <c r="F23" s="26">
        <f t="shared" si="8"/>
        <v>1.3842338707244459</v>
      </c>
      <c r="G23" s="25">
        <f t="shared" si="14"/>
        <v>17.399819755006284</v>
      </c>
      <c r="H23" s="12">
        <f t="shared" si="0"/>
        <v>802.77956814670802</v>
      </c>
      <c r="I23" s="23">
        <f t="shared" si="9"/>
        <v>3500</v>
      </c>
      <c r="J23" s="23">
        <f t="shared" si="10"/>
        <v>13.408938619942328</v>
      </c>
      <c r="K23" s="37">
        <f t="shared" si="1"/>
        <v>618.65134847307104</v>
      </c>
      <c r="L23" s="17">
        <f t="shared" si="2"/>
        <v>43.435215413444432</v>
      </c>
      <c r="M23" s="17">
        <f t="shared" si="3"/>
        <v>400.94044997025622</v>
      </c>
      <c r="N23" s="38">
        <f t="shared" si="4"/>
        <v>9.2307692307692299</v>
      </c>
      <c r="O23" s="17"/>
      <c r="P23" s="28">
        <f t="shared" si="5"/>
        <v>575.2161330596266</v>
      </c>
      <c r="Q23" s="28">
        <f t="shared" si="11"/>
        <v>5892.6303757378464</v>
      </c>
      <c r="R23" s="29">
        <v>11</v>
      </c>
      <c r="U23" s="23">
        <f t="shared" si="6"/>
        <v>618.65134847307104</v>
      </c>
      <c r="V23" s="28">
        <f t="shared" si="12"/>
        <v>6467.5440498068483</v>
      </c>
      <c r="W23" s="29">
        <v>11</v>
      </c>
    </row>
    <row r="24" spans="1:23" ht="15" x14ac:dyDescent="0.25">
      <c r="A24">
        <v>12</v>
      </c>
      <c r="B24" s="30">
        <f t="shared" si="13"/>
        <v>4567.5862374182043</v>
      </c>
      <c r="C24" s="31">
        <f t="shared" si="7"/>
        <v>0.91351724748364083</v>
      </c>
      <c r="D24" s="25">
        <v>14.9</v>
      </c>
      <c r="E24" s="25">
        <v>12.57</v>
      </c>
      <c r="F24" s="26">
        <f t="shared" si="8"/>
        <v>1.4257608868461793</v>
      </c>
      <c r="G24" s="25">
        <f t="shared" si="14"/>
        <v>17.921814347656476</v>
      </c>
      <c r="H24" s="12">
        <f t="shared" si="0"/>
        <v>818.59432563919836</v>
      </c>
      <c r="I24" s="23">
        <f t="shared" si="9"/>
        <v>3500</v>
      </c>
      <c r="J24" s="23">
        <f t="shared" si="10"/>
        <v>13.677117392341174</v>
      </c>
      <c r="K24" s="37">
        <f t="shared" si="1"/>
        <v>624.71413168810705</v>
      </c>
      <c r="L24" s="17">
        <f t="shared" si="2"/>
        <v>41.635863259309964</v>
      </c>
      <c r="M24" s="17">
        <f t="shared" si="3"/>
        <v>384.33104547055353</v>
      </c>
      <c r="N24" s="38">
        <f t="shared" si="4"/>
        <v>9.2307692307692317</v>
      </c>
      <c r="O24" s="17"/>
      <c r="P24" s="28">
        <f t="shared" si="5"/>
        <v>583.07826842879706</v>
      </c>
      <c r="Q24" s="28">
        <f t="shared" si="11"/>
        <v>6475.7086441666434</v>
      </c>
      <c r="R24" s="29">
        <v>12</v>
      </c>
      <c r="U24" s="23">
        <f t="shared" si="6"/>
        <v>624.71413168810705</v>
      </c>
      <c r="V24" s="28">
        <f t="shared" si="12"/>
        <v>7092.2581814949554</v>
      </c>
      <c r="W24" s="29">
        <v>12</v>
      </c>
    </row>
    <row r="25" spans="1:23" ht="15" x14ac:dyDescent="0.25">
      <c r="A25">
        <v>13</v>
      </c>
      <c r="B25" s="30">
        <f t="shared" si="13"/>
        <v>4521.9103750440227</v>
      </c>
      <c r="C25" s="31">
        <f t="shared" si="7"/>
        <v>0.90438207500880452</v>
      </c>
      <c r="D25" s="25">
        <v>14.9</v>
      </c>
      <c r="E25" s="25">
        <v>12.57</v>
      </c>
      <c r="F25" s="26">
        <f t="shared" si="8"/>
        <v>1.4685337134515648</v>
      </c>
      <c r="G25" s="25">
        <f t="shared" si="14"/>
        <v>18.459468778086169</v>
      </c>
      <c r="H25" s="12">
        <f t="shared" si="0"/>
        <v>834.72063385429055</v>
      </c>
      <c r="I25" s="23">
        <f t="shared" si="9"/>
        <v>3500</v>
      </c>
      <c r="J25" s="23">
        <f t="shared" si="10"/>
        <v>13.950659740187998</v>
      </c>
      <c r="K25" s="37">
        <f t="shared" si="1"/>
        <v>630.83633017865066</v>
      </c>
      <c r="L25" s="17">
        <f t="shared" si="2"/>
        <v>39.854504626716881</v>
      </c>
      <c r="M25" s="17">
        <f t="shared" si="3"/>
        <v>367.88773501584814</v>
      </c>
      <c r="N25" s="38">
        <f t="shared" si="4"/>
        <v>9.2307692307692299</v>
      </c>
      <c r="O25" s="17"/>
      <c r="P25" s="28">
        <f t="shared" si="5"/>
        <v>590.98182555193375</v>
      </c>
      <c r="Q25" s="28">
        <f t="shared" si="11"/>
        <v>7066.6904697185773</v>
      </c>
      <c r="R25" s="29">
        <v>13</v>
      </c>
      <c r="U25" s="23">
        <f t="shared" si="6"/>
        <v>630.83633017865066</v>
      </c>
      <c r="V25" s="28">
        <f t="shared" si="12"/>
        <v>7723.0945116736057</v>
      </c>
      <c r="W25" s="29">
        <v>13</v>
      </c>
    </row>
    <row r="26" spans="1:23" ht="15" x14ac:dyDescent="0.25">
      <c r="A26">
        <v>14</v>
      </c>
      <c r="B26" s="30">
        <f t="shared" si="13"/>
        <v>4476.6912712935828</v>
      </c>
      <c r="C26" s="31">
        <f t="shared" si="7"/>
        <v>0.8953382542587166</v>
      </c>
      <c r="D26" s="25">
        <v>14.9</v>
      </c>
      <c r="E26" s="25">
        <v>12.57</v>
      </c>
      <c r="F26" s="26">
        <f t="shared" si="8"/>
        <v>1.5125897248551119</v>
      </c>
      <c r="G26" s="25">
        <f t="shared" si="14"/>
        <v>19.013252841428756</v>
      </c>
      <c r="H26" s="12">
        <f t="shared" si="0"/>
        <v>851.16463034122023</v>
      </c>
      <c r="I26" s="23">
        <f t="shared" si="9"/>
        <v>3500</v>
      </c>
      <c r="J26" s="23">
        <f t="shared" si="10"/>
        <v>14.229672934991758</v>
      </c>
      <c r="K26" s="37">
        <f t="shared" si="1"/>
        <v>637.01852621440139</v>
      </c>
      <c r="L26" s="17">
        <f t="shared" si="2"/>
        <v>38.090959580449727</v>
      </c>
      <c r="M26" s="17">
        <f t="shared" si="3"/>
        <v>351.60885766568975</v>
      </c>
      <c r="N26" s="38">
        <f t="shared" si="4"/>
        <v>9.2307692307692299</v>
      </c>
      <c r="O26" s="17"/>
      <c r="P26" s="28">
        <f t="shared" si="5"/>
        <v>598.92756663395164</v>
      </c>
      <c r="Q26" s="28">
        <f t="shared" si="11"/>
        <v>7665.6180363525291</v>
      </c>
      <c r="R26" s="29">
        <v>14</v>
      </c>
      <c r="U26" s="23">
        <f t="shared" si="6"/>
        <v>637.01852621440139</v>
      </c>
      <c r="V26" s="28">
        <f t="shared" si="12"/>
        <v>8360.113037888008</v>
      </c>
      <c r="W26" s="29">
        <v>14</v>
      </c>
    </row>
    <row r="27" spans="1:23" ht="15" x14ac:dyDescent="0.25">
      <c r="A27">
        <v>15</v>
      </c>
      <c r="B27" s="30">
        <f t="shared" si="13"/>
        <v>4431.9243585806471</v>
      </c>
      <c r="C27" s="31">
        <f t="shared" si="7"/>
        <v>0.88638487171612945</v>
      </c>
      <c r="D27" s="25">
        <v>14.9</v>
      </c>
      <c r="E27" s="25">
        <v>12.57</v>
      </c>
      <c r="F27" s="26">
        <f t="shared" si="8"/>
        <v>1.5579674166007653</v>
      </c>
      <c r="G27" s="25">
        <f t="shared" si="14"/>
        <v>19.583650426671621</v>
      </c>
      <c r="H27" s="12">
        <f t="shared" si="0"/>
        <v>867.93257355894241</v>
      </c>
      <c r="I27" s="23">
        <f t="shared" si="9"/>
        <v>3500</v>
      </c>
      <c r="J27" s="23">
        <f t="shared" si="10"/>
        <v>14.514266393691592</v>
      </c>
      <c r="K27" s="37">
        <f t="shared" si="1"/>
        <v>643.26130777130254</v>
      </c>
      <c r="L27" s="17">
        <f t="shared" si="2"/>
        <v>36.345049984645236</v>
      </c>
      <c r="M27" s="17">
        <f t="shared" si="3"/>
        <v>335.49276908903295</v>
      </c>
      <c r="N27" s="38">
        <f t="shared" si="4"/>
        <v>9.2307692307692299</v>
      </c>
      <c r="O27" s="17"/>
      <c r="P27" s="28">
        <f t="shared" si="5"/>
        <v>606.9162577866573</v>
      </c>
      <c r="Q27" s="28">
        <f t="shared" si="11"/>
        <v>8272.5342941391864</v>
      </c>
      <c r="R27" s="29">
        <v>15</v>
      </c>
      <c r="U27" s="23">
        <f t="shared" si="6"/>
        <v>643.26130777130254</v>
      </c>
      <c r="V27" s="28">
        <f t="shared" si="12"/>
        <v>9003.3743456593111</v>
      </c>
      <c r="W27" s="29">
        <v>15</v>
      </c>
    </row>
    <row r="28" spans="1:23" ht="15" x14ac:dyDescent="0.25">
      <c r="A28">
        <v>16</v>
      </c>
      <c r="B28" s="30">
        <f t="shared" si="13"/>
        <v>4387.6051149948407</v>
      </c>
      <c r="C28" s="31">
        <f t="shared" si="7"/>
        <v>0.87752102299896817</v>
      </c>
      <c r="D28" s="25">
        <v>14.9</v>
      </c>
      <c r="E28" s="25">
        <v>12.57</v>
      </c>
      <c r="F28" s="26">
        <f t="shared" si="8"/>
        <v>1.6047064390987884</v>
      </c>
      <c r="G28" s="25">
        <f t="shared" si="14"/>
        <v>20.171159939471771</v>
      </c>
      <c r="H28" s="12">
        <f t="shared" si="0"/>
        <v>885.03084525805355</v>
      </c>
      <c r="I28" s="23">
        <f t="shared" si="9"/>
        <v>3500</v>
      </c>
      <c r="J28" s="23">
        <f t="shared" si="10"/>
        <v>14.804551721565424</v>
      </c>
      <c r="K28" s="37">
        <f t="shared" si="1"/>
        <v>649.56526858746133</v>
      </c>
      <c r="L28" s="17">
        <f t="shared" si="2"/>
        <v>34.61659948479879</v>
      </c>
      <c r="M28" s="17">
        <f t="shared" si="3"/>
        <v>319.53784139814263</v>
      </c>
      <c r="N28" s="38">
        <f t="shared" si="4"/>
        <v>9.2307692307692299</v>
      </c>
      <c r="O28" s="17"/>
      <c r="P28" s="28">
        <f t="shared" si="5"/>
        <v>614.94866910266251</v>
      </c>
      <c r="Q28" s="28">
        <f t="shared" si="11"/>
        <v>8887.4829632418496</v>
      </c>
      <c r="R28" s="29">
        <v>16</v>
      </c>
      <c r="U28" s="23">
        <f t="shared" si="6"/>
        <v>649.56526858746133</v>
      </c>
      <c r="V28" s="28">
        <f t="shared" si="12"/>
        <v>9652.9396142467722</v>
      </c>
      <c r="W28" s="29">
        <v>16</v>
      </c>
    </row>
    <row r="29" spans="1:23" ht="15" x14ac:dyDescent="0.25">
      <c r="A29">
        <v>17</v>
      </c>
      <c r="B29" s="30">
        <f t="shared" si="13"/>
        <v>4343.7290638448922</v>
      </c>
      <c r="C29" s="31">
        <f t="shared" si="7"/>
        <v>0.86874581276897844</v>
      </c>
      <c r="D29" s="25">
        <v>14.9</v>
      </c>
      <c r="E29" s="25">
        <v>12.57</v>
      </c>
      <c r="F29" s="26">
        <f t="shared" si="8"/>
        <v>1.652847632271752</v>
      </c>
      <c r="G29" s="25">
        <f t="shared" si="14"/>
        <v>20.776294737655924</v>
      </c>
      <c r="H29" s="12">
        <f t="shared" si="0"/>
        <v>902.46595290963728</v>
      </c>
      <c r="I29" s="23">
        <f t="shared" si="9"/>
        <v>3500</v>
      </c>
      <c r="J29" s="23">
        <f t="shared" si="10"/>
        <v>15.100642755996732</v>
      </c>
      <c r="K29" s="37">
        <f t="shared" si="1"/>
        <v>655.93100821961843</v>
      </c>
      <c r="L29" s="17">
        <f t="shared" si="2"/>
        <v>32.905433489950795</v>
      </c>
      <c r="M29" s="17">
        <f t="shared" si="3"/>
        <v>303.74246298416114</v>
      </c>
      <c r="N29" s="38">
        <f t="shared" si="4"/>
        <v>9.2307692307692299</v>
      </c>
      <c r="O29" s="17"/>
      <c r="P29" s="28">
        <f t="shared" si="5"/>
        <v>623.0255747296676</v>
      </c>
      <c r="Q29" s="28">
        <f t="shared" si="11"/>
        <v>9510.5085379715165</v>
      </c>
      <c r="R29" s="29">
        <v>17</v>
      </c>
      <c r="U29" s="23">
        <f t="shared" si="6"/>
        <v>655.93100821961843</v>
      </c>
      <c r="V29" s="28">
        <f t="shared" si="12"/>
        <v>10308.870622466391</v>
      </c>
      <c r="W29" s="29">
        <v>17</v>
      </c>
    </row>
    <row r="30" spans="1:23" ht="15" x14ac:dyDescent="0.25">
      <c r="A30">
        <v>18</v>
      </c>
      <c r="B30" s="30">
        <f t="shared" si="13"/>
        <v>4300.2917732064434</v>
      </c>
      <c r="C30" s="31">
        <f t="shared" si="7"/>
        <v>0.86005835464128866</v>
      </c>
      <c r="D30" s="25">
        <v>14.9</v>
      </c>
      <c r="E30" s="25">
        <v>12.57</v>
      </c>
      <c r="F30" s="26">
        <f t="shared" si="8"/>
        <v>1.7024330612399046</v>
      </c>
      <c r="G30" s="25">
        <f t="shared" si="14"/>
        <v>21.399583579785602</v>
      </c>
      <c r="H30" s="12">
        <f t="shared" si="0"/>
        <v>920.2445321819572</v>
      </c>
      <c r="I30" s="23">
        <f t="shared" si="9"/>
        <v>3500</v>
      </c>
      <c r="J30" s="23">
        <f t="shared" si="10"/>
        <v>15.402655611116668</v>
      </c>
      <c r="K30" s="37">
        <f t="shared" si="1"/>
        <v>662.35913210017065</v>
      </c>
      <c r="L30" s="17">
        <f t="shared" si="2"/>
        <v>31.21137915505129</v>
      </c>
      <c r="M30" s="17">
        <f t="shared" si="3"/>
        <v>288.10503835431962</v>
      </c>
      <c r="N30" s="38">
        <f t="shared" si="4"/>
        <v>9.2307692307692317</v>
      </c>
      <c r="O30" s="17"/>
      <c r="P30" s="28">
        <f t="shared" si="5"/>
        <v>631.14775294511935</v>
      </c>
      <c r="Q30" s="28">
        <f t="shared" si="11"/>
        <v>10141.656290916635</v>
      </c>
      <c r="R30" s="29">
        <v>18</v>
      </c>
      <c r="U30" s="23">
        <f t="shared" si="6"/>
        <v>662.35913210017065</v>
      </c>
      <c r="V30" s="28">
        <f t="shared" si="12"/>
        <v>10971.229754566562</v>
      </c>
      <c r="W30" s="29">
        <v>18</v>
      </c>
    </row>
    <row r="31" spans="1:23" ht="15" x14ac:dyDescent="0.25">
      <c r="A31">
        <v>19</v>
      </c>
      <c r="B31" s="30">
        <f t="shared" si="13"/>
        <v>4257.2888554743786</v>
      </c>
      <c r="C31" s="31">
        <f t="shared" si="7"/>
        <v>0.85145777109487575</v>
      </c>
      <c r="D31" s="25">
        <v>14.9</v>
      </c>
      <c r="E31" s="25">
        <v>12.57</v>
      </c>
      <c r="F31" s="26">
        <f t="shared" si="8"/>
        <v>1.7535060530771018</v>
      </c>
      <c r="G31" s="25">
        <f t="shared" si="14"/>
        <v>22.041571087179172</v>
      </c>
      <c r="H31" s="12">
        <f t="shared" si="0"/>
        <v>938.37334946594171</v>
      </c>
      <c r="I31" s="23">
        <f t="shared" si="9"/>
        <v>3500</v>
      </c>
      <c r="J31" s="23">
        <f t="shared" si="10"/>
        <v>15.710708723339001</v>
      </c>
      <c r="K31" s="37">
        <f t="shared" si="1"/>
        <v>668.85025159475231</v>
      </c>
      <c r="L31" s="17">
        <f t="shared" si="2"/>
        <v>29.534265363500761</v>
      </c>
      <c r="M31" s="17">
        <f t="shared" si="3"/>
        <v>272.62398797077628</v>
      </c>
      <c r="N31" s="38">
        <f t="shared" si="4"/>
        <v>9.2307692307692317</v>
      </c>
      <c r="O31" s="17"/>
      <c r="P31" s="28">
        <f t="shared" si="5"/>
        <v>639.3159862312516</v>
      </c>
      <c r="Q31" s="28">
        <f t="shared" si="11"/>
        <v>10780.972277147886</v>
      </c>
      <c r="R31" s="29">
        <v>19</v>
      </c>
      <c r="U31" s="23">
        <f t="shared" si="6"/>
        <v>668.85025159475231</v>
      </c>
      <c r="V31" s="28">
        <f t="shared" si="12"/>
        <v>11640.080006161315</v>
      </c>
      <c r="W31" s="29">
        <v>19</v>
      </c>
    </row>
    <row r="32" spans="1:23" ht="15" x14ac:dyDescent="0.25">
      <c r="A32">
        <v>20</v>
      </c>
      <c r="B32" s="30">
        <f t="shared" si="13"/>
        <v>4214.7159669196344</v>
      </c>
      <c r="C32" s="31">
        <f t="shared" si="7"/>
        <v>0.84294319338392687</v>
      </c>
      <c r="D32" s="25">
        <v>14.9</v>
      </c>
      <c r="E32" s="25">
        <v>12.57</v>
      </c>
      <c r="F32" s="26">
        <f t="shared" si="8"/>
        <v>1.806111234669415</v>
      </c>
      <c r="G32" s="25">
        <f t="shared" si="14"/>
        <v>22.702818219794548</v>
      </c>
      <c r="H32" s="12">
        <f t="shared" si="0"/>
        <v>956.85930445042072</v>
      </c>
      <c r="I32" s="23">
        <f t="shared" si="9"/>
        <v>3500</v>
      </c>
      <c r="J32" s="23">
        <f t="shared" si="10"/>
        <v>16.02492289780578</v>
      </c>
      <c r="K32" s="37">
        <f t="shared" si="1"/>
        <v>675.4049840603808</v>
      </c>
      <c r="L32" s="17">
        <f t="shared" si="2"/>
        <v>27.873922709865742</v>
      </c>
      <c r="M32" s="17">
        <f t="shared" si="3"/>
        <v>257.2977480910684</v>
      </c>
      <c r="N32" s="38">
        <f t="shared" si="4"/>
        <v>9.2307692307692317</v>
      </c>
      <c r="O32" s="17"/>
      <c r="P32" s="28">
        <f t="shared" si="5"/>
        <v>647.53106135051507</v>
      </c>
      <c r="Q32" s="28">
        <f t="shared" si="11"/>
        <v>11428.503338498402</v>
      </c>
      <c r="R32" s="29">
        <v>20</v>
      </c>
      <c r="U32" s="23">
        <f t="shared" si="6"/>
        <v>675.4049840603808</v>
      </c>
      <c r="V32" s="28">
        <f t="shared" si="12"/>
        <v>12315.484990221696</v>
      </c>
      <c r="W32" s="29">
        <v>20</v>
      </c>
    </row>
    <row r="33" spans="1:23" ht="15" x14ac:dyDescent="0.25">
      <c r="A33">
        <v>21</v>
      </c>
      <c r="B33" s="30">
        <f t="shared" si="13"/>
        <v>4172.5688072504381</v>
      </c>
      <c r="C33" s="31">
        <f t="shared" si="7"/>
        <v>0.8345137614500876</v>
      </c>
      <c r="D33" s="25"/>
      <c r="E33" s="25"/>
      <c r="F33" s="26"/>
      <c r="G33" s="25"/>
      <c r="H33" s="12">
        <f t="shared" si="0"/>
        <v>0</v>
      </c>
      <c r="I33" s="23">
        <f t="shared" si="9"/>
        <v>3500</v>
      </c>
      <c r="J33" s="23">
        <f t="shared" si="10"/>
        <v>16.345421355761896</v>
      </c>
      <c r="K33" s="37">
        <f t="shared" si="1"/>
        <v>682.02395290417257</v>
      </c>
      <c r="L33" s="17">
        <f t="shared" si="2"/>
        <v>26.230183482767085</v>
      </c>
      <c r="M33" s="17">
        <f t="shared" si="3"/>
        <v>242.12477061015773</v>
      </c>
      <c r="N33" s="38">
        <f t="shared" si="4"/>
        <v>9.2307692307692317</v>
      </c>
      <c r="O33" s="17"/>
      <c r="P33" s="28">
        <f t="shared" si="5"/>
        <v>655.7937694214055</v>
      </c>
      <c r="Q33" s="28">
        <f t="shared" si="11"/>
        <v>12084.297107919807</v>
      </c>
      <c r="R33" s="29">
        <v>21</v>
      </c>
      <c r="U33" s="23">
        <f t="shared" si="6"/>
        <v>682.02395290417257</v>
      </c>
      <c r="V33" s="28">
        <f t="shared" si="12"/>
        <v>12997.508943125868</v>
      </c>
      <c r="W33" s="29">
        <v>21</v>
      </c>
    </row>
    <row r="34" spans="1:23" ht="15" x14ac:dyDescent="0.25">
      <c r="A34">
        <v>22</v>
      </c>
      <c r="B34" s="30">
        <f t="shared" si="13"/>
        <v>4130.8431191779337</v>
      </c>
      <c r="C34" s="31">
        <f t="shared" si="7"/>
        <v>0.82616862383558676</v>
      </c>
      <c r="D34" s="25"/>
      <c r="E34" s="25"/>
      <c r="F34" s="26"/>
      <c r="G34" s="25"/>
      <c r="H34" s="12">
        <f t="shared" si="0"/>
        <v>0</v>
      </c>
      <c r="I34" s="23">
        <f t="shared" si="9"/>
        <v>3500</v>
      </c>
      <c r="J34" s="23">
        <f t="shared" si="10"/>
        <v>16.672329782877135</v>
      </c>
      <c r="K34" s="37">
        <f t="shared" si="1"/>
        <v>688.70778764263343</v>
      </c>
      <c r="L34" s="17">
        <f t="shared" si="2"/>
        <v>24.602881647939412</v>
      </c>
      <c r="M34" s="17">
        <f t="shared" si="3"/>
        <v>227.10352290405612</v>
      </c>
      <c r="N34" s="38">
        <f t="shared" si="4"/>
        <v>9.2307692307692317</v>
      </c>
      <c r="O34" s="17"/>
      <c r="P34" s="28">
        <f t="shared" si="5"/>
        <v>664.10490599469404</v>
      </c>
      <c r="Q34" s="28">
        <f t="shared" si="11"/>
        <v>12748.402013914501</v>
      </c>
      <c r="R34" s="29">
        <v>22</v>
      </c>
      <c r="U34" s="23">
        <f t="shared" si="6"/>
        <v>688.70778764263343</v>
      </c>
      <c r="V34" s="28">
        <f t="shared" si="12"/>
        <v>13686.216730768501</v>
      </c>
      <c r="W34" s="29">
        <v>22</v>
      </c>
    </row>
    <row r="35" spans="1:23" ht="15" x14ac:dyDescent="0.25">
      <c r="A35">
        <v>23</v>
      </c>
      <c r="B35" s="30">
        <f t="shared" si="13"/>
        <v>4089.5346879861545</v>
      </c>
      <c r="C35" s="31">
        <f t="shared" si="7"/>
        <v>0.81790693759723088</v>
      </c>
      <c r="D35" s="25"/>
      <c r="E35" s="25"/>
      <c r="F35" s="26"/>
      <c r="G35" s="25"/>
      <c r="H35" s="12">
        <f t="shared" si="0"/>
        <v>0</v>
      </c>
      <c r="I35" s="23">
        <f t="shared" si="9"/>
        <v>3500</v>
      </c>
      <c r="J35" s="23">
        <f t="shared" si="10"/>
        <v>17.005776378534676</v>
      </c>
      <c r="K35" s="37">
        <f t="shared" si="1"/>
        <v>695.45712396153112</v>
      </c>
      <c r="L35" s="17">
        <f t="shared" si="2"/>
        <v>22.991852831460022</v>
      </c>
      <c r="M35" s="17">
        <f t="shared" si="3"/>
        <v>212.23248767501562</v>
      </c>
      <c r="N35" s="38">
        <f t="shared" si="4"/>
        <v>9.2307692307692317</v>
      </c>
      <c r="O35" s="17"/>
      <c r="P35" s="28">
        <f t="shared" si="5"/>
        <v>672.46527113007107</v>
      </c>
      <c r="Q35" s="28">
        <f t="shared" si="11"/>
        <v>13420.867285044573</v>
      </c>
      <c r="R35" s="29">
        <v>23</v>
      </c>
      <c r="U35" s="23">
        <f t="shared" si="6"/>
        <v>695.45712396153112</v>
      </c>
      <c r="V35" s="28">
        <f t="shared" si="12"/>
        <v>14381.673854730032</v>
      </c>
      <c r="W35" s="29">
        <v>23</v>
      </c>
    </row>
    <row r="36" spans="1:23" ht="15" x14ac:dyDescent="0.25">
      <c r="A36">
        <v>24</v>
      </c>
      <c r="B36" s="30">
        <f t="shared" si="13"/>
        <v>4048.6393411062932</v>
      </c>
      <c r="C36" s="31">
        <f t="shared" si="7"/>
        <v>0.80972786822125864</v>
      </c>
      <c r="D36" s="25"/>
      <c r="E36" s="25"/>
      <c r="F36" s="26"/>
      <c r="G36" s="25"/>
      <c r="H36" s="12">
        <f t="shared" si="0"/>
        <v>0</v>
      </c>
      <c r="I36" s="23">
        <f t="shared" si="9"/>
        <v>3500</v>
      </c>
      <c r="J36" s="23">
        <f t="shared" si="10"/>
        <v>17.345891906105368</v>
      </c>
      <c r="K36" s="37">
        <f t="shared" si="1"/>
        <v>702.27260377635423</v>
      </c>
      <c r="L36" s="17">
        <f t="shared" si="2"/>
        <v>21.396934303145432</v>
      </c>
      <c r="M36" s="17">
        <f t="shared" si="3"/>
        <v>197.51016279826553</v>
      </c>
      <c r="N36" s="38">
        <f t="shared" si="4"/>
        <v>9.2307692307692299</v>
      </c>
      <c r="O36" s="17"/>
      <c r="P36" s="28">
        <f t="shared" si="5"/>
        <v>680.87566947320875</v>
      </c>
      <c r="Q36" s="28">
        <f t="shared" si="11"/>
        <v>14101.742954517782</v>
      </c>
      <c r="R36" s="29">
        <v>24</v>
      </c>
      <c r="U36" s="23">
        <f t="shared" si="6"/>
        <v>702.27260377635423</v>
      </c>
      <c r="V36" s="28">
        <f t="shared" si="12"/>
        <v>15083.946458506387</v>
      </c>
      <c r="W36" s="29">
        <v>24</v>
      </c>
    </row>
    <row r="37" spans="1:23" ht="15" x14ac:dyDescent="0.25">
      <c r="A37">
        <v>25</v>
      </c>
      <c r="B37" s="30">
        <f t="shared" si="13"/>
        <v>4008.1529476952301</v>
      </c>
      <c r="C37" s="31">
        <f t="shared" si="7"/>
        <v>0.80163058953904598</v>
      </c>
      <c r="D37" s="25"/>
      <c r="E37" s="25"/>
      <c r="F37" s="26"/>
      <c r="G37" s="25"/>
      <c r="H37" s="12">
        <f t="shared" si="0"/>
        <v>0</v>
      </c>
      <c r="I37" s="23">
        <f t="shared" si="9"/>
        <v>3500</v>
      </c>
      <c r="J37" s="23">
        <f t="shared" si="10"/>
        <v>17.692809744227475</v>
      </c>
      <c r="K37" s="37">
        <f t="shared" si="1"/>
        <v>709.15487529336247</v>
      </c>
      <c r="L37" s="17">
        <f t="shared" si="2"/>
        <v>19.817964960113972</v>
      </c>
      <c r="M37" s="17">
        <f t="shared" si="3"/>
        <v>182.93506117028281</v>
      </c>
      <c r="N37" s="38">
        <f t="shared" si="4"/>
        <v>9.2307692307692299</v>
      </c>
      <c r="O37" s="17"/>
      <c r="P37" s="28">
        <f t="shared" si="5"/>
        <v>689.33691033324851</v>
      </c>
      <c r="Q37" s="28">
        <f t="shared" si="11"/>
        <v>14791.07986485103</v>
      </c>
      <c r="R37" s="29">
        <v>25</v>
      </c>
      <c r="U37" s="23">
        <f t="shared" si="6"/>
        <v>709.15487529336247</v>
      </c>
      <c r="V37" s="28">
        <f t="shared" si="12"/>
        <v>15793.10133379975</v>
      </c>
      <c r="W37" s="29">
        <v>25</v>
      </c>
    </row>
    <row r="38" spans="1:23" ht="15" x14ac:dyDescent="0.25">
      <c r="A38">
        <v>26</v>
      </c>
      <c r="B38" s="30">
        <f>B37-(1%*B37)</f>
        <v>3968.0714182182778</v>
      </c>
      <c r="C38" s="31">
        <f t="shared" si="7"/>
        <v>0.7936142836436556</v>
      </c>
      <c r="D38" s="25"/>
      <c r="E38" s="25"/>
      <c r="F38" s="26"/>
      <c r="G38" s="25"/>
      <c r="H38" s="12">
        <f>B38*G38/100</f>
        <v>0</v>
      </c>
      <c r="I38" s="23">
        <f t="shared" si="9"/>
        <v>3500</v>
      </c>
      <c r="J38" s="23">
        <f>J37+(J37*J$11)</f>
        <v>18.046665939112025</v>
      </c>
      <c r="K38" s="37">
        <f t="shared" si="1"/>
        <v>716.10459307123745</v>
      </c>
      <c r="L38" s="17">
        <f t="shared" si="2"/>
        <v>18.254785310512833</v>
      </c>
      <c r="M38" s="17">
        <f t="shared" si="3"/>
        <v>168.50571055858001</v>
      </c>
      <c r="N38" s="38">
        <f t="shared" si="4"/>
        <v>9.2307692307692317</v>
      </c>
      <c r="O38" s="17"/>
      <c r="P38" s="28">
        <f t="shared" si="5"/>
        <v>697.84980776072462</v>
      </c>
      <c r="Q38" s="28">
        <f>Q37+P38</f>
        <v>15488.929672611754</v>
      </c>
      <c r="R38" s="29">
        <v>26</v>
      </c>
      <c r="U38" s="23">
        <f t="shared" si="6"/>
        <v>716.10459307123745</v>
      </c>
      <c r="V38" s="28">
        <f>V37+U38</f>
        <v>16509.205926870989</v>
      </c>
      <c r="W38" s="29">
        <v>26</v>
      </c>
    </row>
    <row r="39" spans="1:23" ht="15" x14ac:dyDescent="0.25">
      <c r="A39">
        <v>27</v>
      </c>
      <c r="B39" s="30">
        <f>B38-(1%*B38)</f>
        <v>3928.390704036095</v>
      </c>
      <c r="C39" s="31">
        <f t="shared" si="7"/>
        <v>0.78567814080721898</v>
      </c>
      <c r="D39" s="25"/>
      <c r="E39" s="25"/>
      <c r="F39" s="26"/>
      <c r="G39" s="25"/>
      <c r="H39" s="12">
        <f>B39*G39/100</f>
        <v>0</v>
      </c>
      <c r="I39" s="23">
        <f t="shared" si="9"/>
        <v>3500</v>
      </c>
      <c r="J39" s="23">
        <f>J38+(J38*J$11)</f>
        <v>18.407599257894265</v>
      </c>
      <c r="K39" s="37">
        <f t="shared" si="1"/>
        <v>723.12241808333556</v>
      </c>
      <c r="L39" s="17">
        <f t="shared" si="2"/>
        <v>16.707237457407704</v>
      </c>
      <c r="M39" s="17">
        <f t="shared" si="3"/>
        <v>154.22065345299421</v>
      </c>
      <c r="N39" s="38">
        <f t="shared" si="4"/>
        <v>9.2307692307692317</v>
      </c>
      <c r="O39" s="17"/>
      <c r="P39" s="28">
        <f t="shared" si="5"/>
        <v>706.41518062592786</v>
      </c>
      <c r="Q39" s="28">
        <f>Q38+P39</f>
        <v>16195.344853237682</v>
      </c>
      <c r="R39" s="29">
        <v>27</v>
      </c>
      <c r="U39" s="23">
        <f t="shared" si="6"/>
        <v>723.12241808333556</v>
      </c>
      <c r="V39" s="28">
        <f>V38+U39</f>
        <v>17232.328344954323</v>
      </c>
      <c r="W39" s="29">
        <v>27</v>
      </c>
    </row>
    <row r="40" spans="1:23" ht="15" x14ac:dyDescent="0.25">
      <c r="A40">
        <v>28</v>
      </c>
      <c r="B40" s="30">
        <f>B39-(1%*B39)</f>
        <v>3889.1067969957339</v>
      </c>
      <c r="C40" s="31">
        <f t="shared" si="7"/>
        <v>0.77782135939914676</v>
      </c>
      <c r="D40" s="25"/>
      <c r="E40" s="25"/>
      <c r="F40" s="26"/>
      <c r="G40" s="25"/>
      <c r="H40" s="12">
        <f>B40*G40/100</f>
        <v>0</v>
      </c>
      <c r="I40" s="23">
        <f t="shared" si="9"/>
        <v>3500</v>
      </c>
      <c r="J40" s="23">
        <f>J39+(J39*J$11)</f>
        <v>18.775751243052152</v>
      </c>
      <c r="K40" s="37">
        <f t="shared" si="1"/>
        <v>730.20901778055224</v>
      </c>
      <c r="L40" s="17">
        <f t="shared" si="2"/>
        <v>15.175165082833622</v>
      </c>
      <c r="M40" s="17">
        <f t="shared" si="3"/>
        <v>140.07844691846421</v>
      </c>
      <c r="N40" s="38">
        <f t="shared" si="4"/>
        <v>9.2307692307692317</v>
      </c>
      <c r="O40" s="17"/>
      <c r="P40" s="28">
        <f t="shared" si="5"/>
        <v>715.03385269771866</v>
      </c>
      <c r="Q40" s="28">
        <f>Q39+P40</f>
        <v>16910.3787059354</v>
      </c>
      <c r="R40" s="29">
        <v>28</v>
      </c>
      <c r="U40" s="23">
        <f t="shared" si="6"/>
        <v>730.20901778055224</v>
      </c>
      <c r="V40" s="28">
        <f>V39+U40</f>
        <v>17962.537362734874</v>
      </c>
      <c r="W40" s="29">
        <v>28</v>
      </c>
    </row>
    <row r="41" spans="1:23" ht="15" x14ac:dyDescent="0.25">
      <c r="A41">
        <v>29</v>
      </c>
      <c r="B41" s="30">
        <f>B40-(1%*B40)</f>
        <v>3850.2157290257765</v>
      </c>
      <c r="C41" s="31">
        <f t="shared" si="7"/>
        <v>0.77004314580515532</v>
      </c>
      <c r="D41" s="25"/>
      <c r="E41" s="25"/>
      <c r="F41" s="26"/>
      <c r="G41" s="25"/>
      <c r="H41" s="12">
        <f>B41*G41/100</f>
        <v>0</v>
      </c>
      <c r="I41" s="23">
        <f t="shared" si="9"/>
        <v>3500</v>
      </c>
      <c r="J41" s="23">
        <f>J40+(J40*J$11)</f>
        <v>19.151266267913194</v>
      </c>
      <c r="K41" s="37">
        <f t="shared" si="1"/>
        <v>737.36506615480164</v>
      </c>
      <c r="L41" s="17">
        <f t="shared" si="2"/>
        <v>13.658413432005283</v>
      </c>
      <c r="M41" s="17">
        <f t="shared" si="3"/>
        <v>126.07766244927952</v>
      </c>
      <c r="N41" s="38">
        <f t="shared" si="4"/>
        <v>9.2307692307692299</v>
      </c>
      <c r="O41" s="17"/>
      <c r="P41" s="28">
        <f t="shared" si="5"/>
        <v>723.70665272279632</v>
      </c>
      <c r="Q41" s="28">
        <f>Q40+P41</f>
        <v>17634.085358658198</v>
      </c>
      <c r="R41" s="29">
        <v>29</v>
      </c>
      <c r="U41" s="23">
        <f t="shared" si="6"/>
        <v>737.36506615480164</v>
      </c>
      <c r="V41" s="28">
        <f>V40+U41</f>
        <v>18699.902428889676</v>
      </c>
      <c r="W41" s="29">
        <v>29</v>
      </c>
    </row>
    <row r="42" spans="1:23" ht="15" x14ac:dyDescent="0.25">
      <c r="A42">
        <v>30</v>
      </c>
      <c r="B42" s="30">
        <f>B41-(1%*B41)</f>
        <v>3811.7135717355186</v>
      </c>
      <c r="C42" s="31">
        <f t="shared" si="7"/>
        <v>0.76234271434710377</v>
      </c>
      <c r="D42" s="25"/>
      <c r="E42" s="25"/>
      <c r="F42" s="26"/>
      <c r="G42" s="25"/>
      <c r="H42" s="12">
        <f>B42*G42/100</f>
        <v>0</v>
      </c>
      <c r="I42" s="23">
        <f t="shared" si="9"/>
        <v>3500</v>
      </c>
      <c r="J42" s="23">
        <f>J41+(J41*J$11)</f>
        <v>19.534291593271458</v>
      </c>
      <c r="K42" s="37">
        <f t="shared" si="1"/>
        <v>744.59124380311869</v>
      </c>
      <c r="L42" s="17">
        <f t="shared" si="2"/>
        <v>12.156829297685224</v>
      </c>
      <c r="M42" s="17">
        <f t="shared" si="3"/>
        <v>112.21688582478669</v>
      </c>
      <c r="N42" s="38">
        <f t="shared" si="4"/>
        <v>9.2307692307692317</v>
      </c>
      <c r="O42" s="17"/>
      <c r="P42" s="28">
        <f t="shared" si="5"/>
        <v>732.43441450543344</v>
      </c>
      <c r="Q42" s="28">
        <f>Q41+P42</f>
        <v>18366.519773163633</v>
      </c>
      <c r="R42" s="29">
        <v>30</v>
      </c>
      <c r="U42" s="23">
        <f t="shared" si="6"/>
        <v>744.59124380311869</v>
      </c>
      <c r="V42" s="28">
        <f>V41+U42</f>
        <v>19444.493672692795</v>
      </c>
      <c r="W42" s="29">
        <v>30</v>
      </c>
    </row>
    <row r="43" spans="1:23" x14ac:dyDescent="0.2">
      <c r="B43" s="30"/>
      <c r="C43" s="31"/>
      <c r="D43" s="25"/>
      <c r="E43" s="25"/>
      <c r="F43" s="25"/>
      <c r="G43" s="25"/>
      <c r="H43" s="32"/>
      <c r="I43" s="23"/>
      <c r="J43" s="23"/>
      <c r="K43" s="23"/>
      <c r="L43" s="23"/>
      <c r="M43" s="23"/>
      <c r="N43" s="23"/>
      <c r="O43" s="23"/>
      <c r="P43" s="28"/>
      <c r="R43" s="29"/>
    </row>
    <row r="44" spans="1:23" x14ac:dyDescent="0.2">
      <c r="B44" s="30"/>
      <c r="C44" s="31"/>
      <c r="D44" s="25"/>
      <c r="E44" s="25"/>
      <c r="F44" s="25"/>
      <c r="G44" s="25"/>
      <c r="H44" s="32"/>
      <c r="I44" s="23"/>
      <c r="J44" s="23"/>
      <c r="K44" s="23"/>
      <c r="L44" s="23"/>
      <c r="M44" s="23"/>
      <c r="N44" s="23"/>
      <c r="O44" s="23"/>
      <c r="P44" s="28"/>
      <c r="R44" s="29"/>
    </row>
    <row r="45" spans="1:23" x14ac:dyDescent="0.2">
      <c r="B45" s="30"/>
      <c r="C45" s="31"/>
      <c r="D45" s="25"/>
      <c r="E45" s="25"/>
      <c r="F45" s="25"/>
      <c r="G45" s="25"/>
      <c r="H45" s="32"/>
      <c r="I45" s="23"/>
      <c r="J45" s="23"/>
      <c r="K45" s="23"/>
      <c r="L45" s="23"/>
      <c r="M45" s="23"/>
      <c r="N45" s="23"/>
      <c r="O45" s="23"/>
      <c r="P45" s="28"/>
      <c r="R45" s="29"/>
    </row>
    <row r="46" spans="1:23" x14ac:dyDescent="0.2">
      <c r="B46" s="30"/>
      <c r="C46" s="31"/>
      <c r="D46" s="25"/>
      <c r="E46" s="25"/>
      <c r="F46" s="25"/>
      <c r="G46" s="25"/>
      <c r="H46" s="32"/>
      <c r="I46" s="23"/>
      <c r="J46" s="23"/>
      <c r="K46" s="23"/>
      <c r="L46" s="23"/>
      <c r="M46" s="23"/>
      <c r="N46" s="23"/>
      <c r="O46" s="23"/>
      <c r="P46" s="28"/>
      <c r="R46" s="29"/>
    </row>
    <row r="47" spans="1:23" x14ac:dyDescent="0.2">
      <c r="B47" s="30"/>
      <c r="C47" s="31"/>
      <c r="D47" s="25"/>
      <c r="E47" s="25"/>
      <c r="F47" s="25"/>
      <c r="G47" s="25"/>
      <c r="H47" s="32"/>
      <c r="I47" s="23"/>
      <c r="J47" s="23"/>
      <c r="K47" s="23"/>
      <c r="L47" s="23"/>
      <c r="M47" s="23"/>
      <c r="N47" s="23"/>
      <c r="O47" s="23"/>
      <c r="P47" s="28"/>
      <c r="R47" s="29"/>
    </row>
    <row r="48" spans="1:23" x14ac:dyDescent="0.2">
      <c r="B48" s="30"/>
      <c r="C48" s="31"/>
      <c r="H48" s="32"/>
      <c r="I48" s="23"/>
      <c r="J48" s="23"/>
      <c r="K48" s="23"/>
      <c r="L48" s="23"/>
      <c r="M48" s="23"/>
      <c r="N48" s="23"/>
      <c r="O48" s="23"/>
      <c r="P48" s="28"/>
    </row>
    <row r="49" spans="2:16" x14ac:dyDescent="0.2">
      <c r="B49" s="30"/>
      <c r="C49" s="31"/>
      <c r="H49" s="32"/>
      <c r="I49" s="23"/>
      <c r="J49" s="23"/>
      <c r="K49" s="23"/>
      <c r="L49" s="23"/>
      <c r="M49" s="23"/>
      <c r="N49" s="23"/>
      <c r="O49" s="23"/>
      <c r="P49" s="28"/>
    </row>
    <row r="50" spans="2:16" x14ac:dyDescent="0.2">
      <c r="B50" s="30"/>
      <c r="C50" s="31"/>
      <c r="H50" s="32"/>
      <c r="I50" s="23"/>
      <c r="J50" s="23"/>
      <c r="K50" s="23"/>
      <c r="L50" s="23"/>
      <c r="M50" s="23"/>
      <c r="N50" s="23"/>
      <c r="O50" s="23"/>
      <c r="P50" s="28"/>
    </row>
  </sheetData>
  <phoneticPr fontId="21" type="noConversion"/>
  <conditionalFormatting sqref="Q13:Q42">
    <cfRule type="cellIs" dxfId="21" priority="3" stopIfTrue="1" operator="greaterThan">
      <formula>$C$4</formula>
    </cfRule>
    <cfRule type="cellIs" dxfId="20" priority="4" stopIfTrue="1" operator="lessThan">
      <formula>$C$4</formula>
    </cfRule>
  </conditionalFormatting>
  <conditionalFormatting sqref="V13:V42">
    <cfRule type="cellIs" dxfId="19" priority="1" stopIfTrue="1" operator="greaterThan">
      <formula>$C$4</formula>
    </cfRule>
    <cfRule type="cellIs" dxfId="18" priority="2" stopIfTrue="1" operator="lessThan">
      <formula>$C$4</formula>
    </cfRule>
  </conditionalFormatting>
  <pageMargins left="0.75" right="0.75" top="1" bottom="1" header="0.51180555555555551" footer="0.51180555555555551"/>
  <pageSetup paperSize="9" scale="72" firstPageNumber="0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50"/>
  <sheetViews>
    <sheetView showGridLines="0" zoomScale="70" zoomScaleNormal="70" workbookViewId="0">
      <selection activeCell="A6" sqref="A6"/>
    </sheetView>
  </sheetViews>
  <sheetFormatPr defaultColWidth="11" defaultRowHeight="12.75" x14ac:dyDescent="0.2"/>
  <cols>
    <col min="1" max="1" width="7.625" customWidth="1"/>
    <col min="2" max="2" width="19.625" customWidth="1"/>
    <col min="3" max="10" width="11" customWidth="1"/>
    <col min="11" max="15" width="11.75" customWidth="1"/>
    <col min="16" max="16" width="12.375" style="1" customWidth="1"/>
    <col min="17" max="17" width="13.75" customWidth="1"/>
    <col min="18" max="18" width="6.375" customWidth="1"/>
  </cols>
  <sheetData>
    <row r="1" spans="1:26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</row>
    <row r="2" spans="1:26" x14ac:dyDescent="0.2">
      <c r="H2" s="5"/>
    </row>
    <row r="3" spans="1:26" x14ac:dyDescent="0.2">
      <c r="B3" s="6" t="s">
        <v>1</v>
      </c>
      <c r="C3" s="7">
        <v>925</v>
      </c>
      <c r="E3" s="8" t="s">
        <v>2</v>
      </c>
      <c r="F3" s="8"/>
      <c r="G3" s="9"/>
      <c r="H3" s="10"/>
      <c r="I3" s="10"/>
      <c r="J3" s="9"/>
      <c r="K3" s="9"/>
      <c r="L3" s="9"/>
      <c r="M3" s="9"/>
      <c r="N3" s="9"/>
      <c r="O3" s="9"/>
    </row>
    <row r="4" spans="1:26" x14ac:dyDescent="0.2">
      <c r="B4" s="11" t="s">
        <v>3</v>
      </c>
      <c r="C4" s="12">
        <f>C3*C6</f>
        <v>4625</v>
      </c>
      <c r="D4" s="12"/>
      <c r="E4" s="13" t="s">
        <v>4</v>
      </c>
      <c r="F4" s="13"/>
      <c r="G4" s="14"/>
      <c r="H4" s="14"/>
      <c r="I4" s="14"/>
      <c r="J4" s="14"/>
      <c r="K4" s="14"/>
      <c r="L4" s="14"/>
      <c r="M4" s="14"/>
      <c r="N4" s="14"/>
      <c r="O4" s="14"/>
      <c r="Q4" s="1"/>
    </row>
    <row r="5" spans="1:26" x14ac:dyDescent="0.2">
      <c r="E5" s="15" t="s">
        <v>5</v>
      </c>
      <c r="F5" s="15"/>
      <c r="H5" s="5"/>
    </row>
    <row r="6" spans="1:26" x14ac:dyDescent="0.2">
      <c r="B6" s="6" t="s">
        <v>6</v>
      </c>
      <c r="C6" s="7">
        <v>5</v>
      </c>
      <c r="E6" s="15" t="s">
        <v>7</v>
      </c>
      <c r="F6" s="15"/>
      <c r="H6" s="5"/>
    </row>
    <row r="7" spans="1:26" x14ac:dyDescent="0.2">
      <c r="B7" s="6" t="s">
        <v>8</v>
      </c>
      <c r="C7">
        <v>1</v>
      </c>
      <c r="E7" s="15" t="s">
        <v>9</v>
      </c>
      <c r="F7" s="15"/>
      <c r="H7" s="5"/>
    </row>
    <row r="8" spans="1:26" x14ac:dyDescent="0.2">
      <c r="B8" s="6" t="s">
        <v>10</v>
      </c>
      <c r="C8" s="8">
        <v>1000</v>
      </c>
    </row>
    <row r="9" spans="1:26" x14ac:dyDescent="0.2">
      <c r="B9" s="6" t="s">
        <v>11</v>
      </c>
      <c r="C9" s="8">
        <v>1</v>
      </c>
      <c r="G9" s="16">
        <f>1+G11</f>
        <v>1.03</v>
      </c>
    </row>
    <row r="10" spans="1:26" ht="57.75" customHeight="1" x14ac:dyDescent="0.2">
      <c r="B10" s="6" t="s">
        <v>12</v>
      </c>
      <c r="C10" s="17">
        <f>C6*C7*C8*C9</f>
        <v>5000</v>
      </c>
      <c r="G10" s="18" t="s">
        <v>13</v>
      </c>
      <c r="H10" s="18" t="s">
        <v>34</v>
      </c>
      <c r="I10" s="18" t="s">
        <v>14</v>
      </c>
      <c r="J10" s="18" t="s">
        <v>15</v>
      </c>
      <c r="L10" s="18" t="s">
        <v>16</v>
      </c>
      <c r="M10" s="18" t="s">
        <v>17</v>
      </c>
      <c r="P10" s="18" t="s">
        <v>18</v>
      </c>
    </row>
    <row r="11" spans="1:26" ht="15" x14ac:dyDescent="0.25">
      <c r="B11" s="6"/>
      <c r="G11" s="19">
        <v>0.03</v>
      </c>
      <c r="H11" s="44">
        <v>0.05</v>
      </c>
      <c r="I11" s="19">
        <v>0.7</v>
      </c>
      <c r="J11" s="42">
        <v>2.3E-2</v>
      </c>
      <c r="L11" s="35">
        <v>3.9</v>
      </c>
      <c r="M11" s="34">
        <v>0.36</v>
      </c>
      <c r="P11" s="12"/>
    </row>
    <row r="12" spans="1:26" s="22" customFormat="1" ht="64.5" x14ac:dyDescent="0.25">
      <c r="A12" s="18" t="s">
        <v>19</v>
      </c>
      <c r="B12" s="18" t="s">
        <v>20</v>
      </c>
      <c r="C12" s="18" t="s">
        <v>21</v>
      </c>
      <c r="D12" s="33" t="s">
        <v>22</v>
      </c>
      <c r="E12" s="33" t="s">
        <v>23</v>
      </c>
      <c r="F12" s="33" t="s">
        <v>24</v>
      </c>
      <c r="G12" s="45" t="s">
        <v>25</v>
      </c>
      <c r="H12" s="45" t="s">
        <v>35</v>
      </c>
      <c r="I12" s="18" t="s">
        <v>27</v>
      </c>
      <c r="J12" s="18" t="s">
        <v>28</v>
      </c>
      <c r="K12" s="36" t="s">
        <v>29</v>
      </c>
      <c r="L12" s="20" t="s">
        <v>30</v>
      </c>
      <c r="M12" s="20" t="s">
        <v>31</v>
      </c>
      <c r="N12" s="20"/>
      <c r="O12" s="20"/>
      <c r="P12" s="20" t="s">
        <v>32</v>
      </c>
      <c r="Q12" s="20" t="s">
        <v>33</v>
      </c>
      <c r="R12" s="21" t="s">
        <v>19</v>
      </c>
      <c r="V12" s="20" t="s">
        <v>33</v>
      </c>
      <c r="W12" s="21" t="s">
        <v>19</v>
      </c>
      <c r="X12" s="20" t="s">
        <v>32</v>
      </c>
      <c r="Y12" s="20" t="s">
        <v>33</v>
      </c>
      <c r="Z12" s="21" t="s">
        <v>19</v>
      </c>
    </row>
    <row r="13" spans="1:26" ht="15" x14ac:dyDescent="0.25">
      <c r="A13">
        <v>1</v>
      </c>
      <c r="B13" s="23">
        <f>C10</f>
        <v>5000</v>
      </c>
      <c r="C13" s="24">
        <v>1</v>
      </c>
      <c r="D13" s="25">
        <v>14.9</v>
      </c>
      <c r="E13" s="25">
        <v>12.57</v>
      </c>
      <c r="F13" s="26">
        <f>G9</f>
        <v>1.03</v>
      </c>
      <c r="G13" s="26">
        <v>25.99</v>
      </c>
      <c r="H13" s="43">
        <v>115</v>
      </c>
      <c r="I13" s="23">
        <f>B13*I$11</f>
        <v>3500</v>
      </c>
      <c r="J13" s="27">
        <v>11</v>
      </c>
      <c r="K13" s="37">
        <f>B13*J13/100</f>
        <v>550</v>
      </c>
      <c r="L13" s="17">
        <f>(B13-I13)*$L$11/100</f>
        <v>58.5</v>
      </c>
      <c r="M13" s="17">
        <f>(B13-I13)*$M$11</f>
        <v>540</v>
      </c>
      <c r="N13" s="38">
        <f>M13/L13</f>
        <v>9.2307692307692299</v>
      </c>
      <c r="O13" s="17"/>
      <c r="P13" s="28">
        <f>K13-L13</f>
        <v>491.5</v>
      </c>
      <c r="Q13" s="28">
        <f>P13</f>
        <v>491.5</v>
      </c>
      <c r="R13" s="29">
        <v>1</v>
      </c>
      <c r="U13" s="23">
        <f>K13</f>
        <v>550</v>
      </c>
      <c r="V13" s="28">
        <f>U13</f>
        <v>550</v>
      </c>
      <c r="W13" s="29">
        <v>1</v>
      </c>
      <c r="X13" s="28">
        <f>K13-H13-G13</f>
        <v>409.01</v>
      </c>
      <c r="Y13" s="28">
        <f>X13</f>
        <v>409.01</v>
      </c>
      <c r="Z13" s="29">
        <v>1</v>
      </c>
    </row>
    <row r="14" spans="1:26" ht="15" x14ac:dyDescent="0.25">
      <c r="A14">
        <v>2</v>
      </c>
      <c r="B14" s="30">
        <f>B13</f>
        <v>5000</v>
      </c>
      <c r="C14" s="31">
        <f>B14/B$13</f>
        <v>1</v>
      </c>
      <c r="D14" s="25">
        <v>14.9</v>
      </c>
      <c r="E14" s="25">
        <v>12.57</v>
      </c>
      <c r="F14" s="26">
        <f>F13*$G$9</f>
        <v>1.0609</v>
      </c>
      <c r="G14" s="26">
        <f>G13</f>
        <v>25.99</v>
      </c>
      <c r="H14" s="23">
        <f>H13+(H13*H$11)</f>
        <v>120.75</v>
      </c>
      <c r="I14" s="23">
        <f>I13</f>
        <v>3500</v>
      </c>
      <c r="J14" s="23">
        <f>J13+(J13*J$11)</f>
        <v>11.253</v>
      </c>
      <c r="K14" s="37">
        <f t="shared" ref="K14:K42" si="0">B14*J14/100</f>
        <v>562.65</v>
      </c>
      <c r="L14" s="17">
        <f t="shared" ref="L14:L42" si="1">(B14-I14)*$L$11/100</f>
        <v>58.5</v>
      </c>
      <c r="M14" s="17">
        <f t="shared" ref="M14:M42" si="2">(B14-I14)*$M$11</f>
        <v>540</v>
      </c>
      <c r="N14" s="38">
        <f t="shared" ref="N14:N42" si="3">M14/L14</f>
        <v>9.2307692307692299</v>
      </c>
      <c r="O14" s="17"/>
      <c r="P14" s="28">
        <f t="shared" ref="P14:P42" si="4">K14-L14</f>
        <v>504.15</v>
      </c>
      <c r="Q14" s="28">
        <f>Q13+P14</f>
        <v>995.65</v>
      </c>
      <c r="R14" s="29">
        <v>2</v>
      </c>
      <c r="U14" s="23">
        <f t="shared" ref="U14:U42" si="5">K14</f>
        <v>562.65</v>
      </c>
      <c r="V14" s="28">
        <f>V13+U14</f>
        <v>1112.6500000000001</v>
      </c>
      <c r="W14" s="29">
        <v>2</v>
      </c>
      <c r="X14" s="28">
        <f t="shared" ref="X14:X42" si="6">K14-H14-G14</f>
        <v>415.90999999999997</v>
      </c>
      <c r="Y14" s="28">
        <f>Y13+X14</f>
        <v>824.92</v>
      </c>
      <c r="Z14" s="29">
        <v>2</v>
      </c>
    </row>
    <row r="15" spans="1:26" ht="15" x14ac:dyDescent="0.25">
      <c r="A15">
        <v>3</v>
      </c>
      <c r="B15" s="30">
        <f>B14</f>
        <v>5000</v>
      </c>
      <c r="C15" s="31">
        <f t="shared" ref="C15:C42" si="7">B15/B$13</f>
        <v>1</v>
      </c>
      <c r="D15" s="25">
        <v>14.9</v>
      </c>
      <c r="E15" s="25">
        <v>12.57</v>
      </c>
      <c r="F15" s="26">
        <f t="shared" ref="F15:F32" si="8">F14*$G$9</f>
        <v>1.092727</v>
      </c>
      <c r="G15" s="26">
        <f t="shared" ref="G15:G42" si="9">G14</f>
        <v>25.99</v>
      </c>
      <c r="H15" s="23">
        <f t="shared" ref="H15:H42" si="10">H14+(H14*H$11)</f>
        <v>126.78749999999999</v>
      </c>
      <c r="I15" s="23">
        <f t="shared" ref="I15:I42" si="11">I14</f>
        <v>3500</v>
      </c>
      <c r="J15" s="23">
        <f t="shared" ref="J15:J37" si="12">J14+(J14*J$11)</f>
        <v>11.511819000000001</v>
      </c>
      <c r="K15" s="37">
        <f t="shared" si="0"/>
        <v>575.59095000000002</v>
      </c>
      <c r="L15" s="17">
        <f t="shared" si="1"/>
        <v>58.5</v>
      </c>
      <c r="M15" s="17">
        <f t="shared" si="2"/>
        <v>540</v>
      </c>
      <c r="N15" s="38">
        <f t="shared" si="3"/>
        <v>9.2307692307692299</v>
      </c>
      <c r="O15" s="17"/>
      <c r="P15" s="28">
        <f t="shared" si="4"/>
        <v>517.09095000000002</v>
      </c>
      <c r="Q15" s="28">
        <f t="shared" ref="Q15:Q37" si="13">Q14+P15</f>
        <v>1512.7409499999999</v>
      </c>
      <c r="R15" s="29">
        <v>3</v>
      </c>
      <c r="U15" s="23">
        <f t="shared" si="5"/>
        <v>575.59095000000002</v>
      </c>
      <c r="V15" s="28">
        <f t="shared" ref="V15:V37" si="14">V14+U15</f>
        <v>1688.2409500000001</v>
      </c>
      <c r="W15" s="29">
        <v>3</v>
      </c>
      <c r="X15" s="28">
        <f t="shared" si="6"/>
        <v>422.81344999999999</v>
      </c>
      <c r="Y15" s="28">
        <f t="shared" ref="Y15:Y37" si="15">Y14+X15</f>
        <v>1247.7334499999999</v>
      </c>
      <c r="Z15" s="29">
        <v>3</v>
      </c>
    </row>
    <row r="16" spans="1:26" ht="15" x14ac:dyDescent="0.25">
      <c r="A16">
        <v>4</v>
      </c>
      <c r="B16" s="30">
        <f t="shared" ref="B16:B37" si="16">B15-(1%*B15)</f>
        <v>4950</v>
      </c>
      <c r="C16" s="31">
        <f t="shared" si="7"/>
        <v>0.99</v>
      </c>
      <c r="D16" s="25">
        <v>14.9</v>
      </c>
      <c r="E16" s="25">
        <v>12.57</v>
      </c>
      <c r="F16" s="26">
        <f t="shared" si="8"/>
        <v>1.1255088100000001</v>
      </c>
      <c r="G16" s="26">
        <f t="shared" si="9"/>
        <v>25.99</v>
      </c>
      <c r="H16" s="23">
        <f t="shared" si="10"/>
        <v>133.12687499999998</v>
      </c>
      <c r="I16" s="23">
        <f t="shared" si="11"/>
        <v>3500</v>
      </c>
      <c r="J16" s="23">
        <f t="shared" si="12"/>
        <v>11.776590837000001</v>
      </c>
      <c r="K16" s="37">
        <f t="shared" si="0"/>
        <v>582.94124643150008</v>
      </c>
      <c r="L16" s="17">
        <f t="shared" si="1"/>
        <v>56.55</v>
      </c>
      <c r="M16" s="17">
        <f t="shared" si="2"/>
        <v>522</v>
      </c>
      <c r="N16" s="38">
        <f t="shared" si="3"/>
        <v>9.2307692307692317</v>
      </c>
      <c r="O16" s="17"/>
      <c r="P16" s="28">
        <f t="shared" si="4"/>
        <v>526.39124643150012</v>
      </c>
      <c r="Q16" s="28">
        <f t="shared" si="13"/>
        <v>2039.1321964315</v>
      </c>
      <c r="R16" s="29">
        <v>4</v>
      </c>
      <c r="U16" s="23">
        <f t="shared" si="5"/>
        <v>582.94124643150008</v>
      </c>
      <c r="V16" s="28">
        <f t="shared" si="14"/>
        <v>2271.1821964315004</v>
      </c>
      <c r="W16" s="29">
        <v>4</v>
      </c>
      <c r="X16" s="28">
        <f t="shared" si="6"/>
        <v>423.82437143150008</v>
      </c>
      <c r="Y16" s="28">
        <f t="shared" si="15"/>
        <v>1671.5578214315001</v>
      </c>
      <c r="Z16" s="29">
        <v>4</v>
      </c>
    </row>
    <row r="17" spans="1:26" ht="15" x14ac:dyDescent="0.25">
      <c r="A17">
        <v>5</v>
      </c>
      <c r="B17" s="30">
        <f t="shared" si="16"/>
        <v>4900.5</v>
      </c>
      <c r="C17" s="31">
        <f t="shared" si="7"/>
        <v>0.98009999999999997</v>
      </c>
      <c r="D17" s="25">
        <v>14.9</v>
      </c>
      <c r="E17" s="25">
        <v>12.57</v>
      </c>
      <c r="F17" s="26">
        <f t="shared" si="8"/>
        <v>1.1592740743000001</v>
      </c>
      <c r="G17" s="26">
        <f t="shared" si="9"/>
        <v>25.99</v>
      </c>
      <c r="H17" s="23">
        <f t="shared" si="10"/>
        <v>139.78321874999997</v>
      </c>
      <c r="I17" s="23">
        <f t="shared" si="11"/>
        <v>3500</v>
      </c>
      <c r="J17" s="23">
        <f t="shared" si="12"/>
        <v>12.047452426251001</v>
      </c>
      <c r="K17" s="37">
        <f t="shared" si="0"/>
        <v>590.38540614843032</v>
      </c>
      <c r="L17" s="17">
        <f t="shared" si="1"/>
        <v>54.619499999999995</v>
      </c>
      <c r="M17" s="17">
        <f t="shared" si="2"/>
        <v>504.18</v>
      </c>
      <c r="N17" s="38">
        <f t="shared" si="3"/>
        <v>9.2307692307692317</v>
      </c>
      <c r="O17" s="17"/>
      <c r="P17" s="28">
        <f t="shared" si="4"/>
        <v>535.7659061484303</v>
      </c>
      <c r="Q17" s="28">
        <f t="shared" si="13"/>
        <v>2574.8981025799303</v>
      </c>
      <c r="R17" s="29">
        <v>5</v>
      </c>
      <c r="U17" s="23">
        <f t="shared" si="5"/>
        <v>590.38540614843032</v>
      </c>
      <c r="V17" s="28">
        <f t="shared" si="14"/>
        <v>2861.5676025799307</v>
      </c>
      <c r="W17" s="29">
        <v>5</v>
      </c>
      <c r="X17" s="28">
        <f t="shared" si="6"/>
        <v>424.61218739843036</v>
      </c>
      <c r="Y17" s="28">
        <f t="shared" si="15"/>
        <v>2096.1700088299303</v>
      </c>
      <c r="Z17" s="29">
        <v>5</v>
      </c>
    </row>
    <row r="18" spans="1:26" ht="15" x14ac:dyDescent="0.25">
      <c r="A18">
        <v>6</v>
      </c>
      <c r="B18" s="30">
        <f t="shared" si="16"/>
        <v>4851.4949999999999</v>
      </c>
      <c r="C18" s="31">
        <f t="shared" si="7"/>
        <v>0.97029900000000002</v>
      </c>
      <c r="D18" s="25">
        <v>14.9</v>
      </c>
      <c r="E18" s="25">
        <v>12.57</v>
      </c>
      <c r="F18" s="26">
        <f t="shared" si="8"/>
        <v>1.1940522965290001</v>
      </c>
      <c r="G18" s="26">
        <f t="shared" si="9"/>
        <v>25.99</v>
      </c>
      <c r="H18" s="23">
        <f t="shared" si="10"/>
        <v>146.77237968749998</v>
      </c>
      <c r="I18" s="23">
        <f t="shared" si="11"/>
        <v>3500</v>
      </c>
      <c r="J18" s="23">
        <f t="shared" si="12"/>
        <v>12.324543832054774</v>
      </c>
      <c r="K18" s="37">
        <f t="shared" si="0"/>
        <v>597.92462778494576</v>
      </c>
      <c r="L18" s="17">
        <f t="shared" si="1"/>
        <v>52.708304999999989</v>
      </c>
      <c r="M18" s="17">
        <f t="shared" si="2"/>
        <v>486.53819999999996</v>
      </c>
      <c r="N18" s="38">
        <f t="shared" si="3"/>
        <v>9.2307692307692317</v>
      </c>
      <c r="O18" s="17"/>
      <c r="P18" s="28">
        <f t="shared" si="4"/>
        <v>545.21632278494576</v>
      </c>
      <c r="Q18" s="28">
        <f t="shared" si="13"/>
        <v>3120.1144253648763</v>
      </c>
      <c r="R18" s="29">
        <v>6</v>
      </c>
      <c r="U18" s="23">
        <f t="shared" si="5"/>
        <v>597.92462778494576</v>
      </c>
      <c r="V18" s="28">
        <f t="shared" si="14"/>
        <v>3459.4922303648764</v>
      </c>
      <c r="W18" s="29">
        <v>6</v>
      </c>
      <c r="X18" s="28">
        <f t="shared" si="6"/>
        <v>425.16224809744574</v>
      </c>
      <c r="Y18" s="28">
        <f t="shared" si="15"/>
        <v>2521.332256927376</v>
      </c>
      <c r="Z18" s="29">
        <v>6</v>
      </c>
    </row>
    <row r="19" spans="1:26" ht="15" x14ac:dyDescent="0.25">
      <c r="A19">
        <v>7</v>
      </c>
      <c r="B19" s="30">
        <f t="shared" si="16"/>
        <v>4802.9800500000001</v>
      </c>
      <c r="C19" s="31">
        <f t="shared" si="7"/>
        <v>0.96059601000000006</v>
      </c>
      <c r="D19" s="25">
        <v>14.9</v>
      </c>
      <c r="E19" s="25">
        <v>12.57</v>
      </c>
      <c r="F19" s="26">
        <f t="shared" si="8"/>
        <v>1.2298738654248702</v>
      </c>
      <c r="G19" s="26">
        <f t="shared" si="9"/>
        <v>25.99</v>
      </c>
      <c r="H19" s="23">
        <f t="shared" si="10"/>
        <v>154.11099867187497</v>
      </c>
      <c r="I19" s="23">
        <f t="shared" si="11"/>
        <v>3500</v>
      </c>
      <c r="J19" s="23">
        <f t="shared" si="12"/>
        <v>12.608008340192034</v>
      </c>
      <c r="K19" s="37">
        <f t="shared" si="0"/>
        <v>605.5601252817595</v>
      </c>
      <c r="L19" s="17">
        <f t="shared" si="1"/>
        <v>50.816221949999999</v>
      </c>
      <c r="M19" s="17">
        <f t="shared" si="2"/>
        <v>469.07281800000004</v>
      </c>
      <c r="N19" s="38">
        <f t="shared" si="3"/>
        <v>9.2307692307692317</v>
      </c>
      <c r="O19" s="17"/>
      <c r="P19" s="28">
        <f t="shared" si="4"/>
        <v>554.7439033317595</v>
      </c>
      <c r="Q19" s="28">
        <f t="shared" si="13"/>
        <v>3674.8583286966359</v>
      </c>
      <c r="R19" s="29">
        <v>7</v>
      </c>
      <c r="U19" s="23">
        <f t="shared" si="5"/>
        <v>605.5601252817595</v>
      </c>
      <c r="V19" s="28">
        <f t="shared" si="14"/>
        <v>4065.052355646636</v>
      </c>
      <c r="W19" s="29">
        <v>7</v>
      </c>
      <c r="X19" s="28">
        <f t="shared" si="6"/>
        <v>425.45912660988449</v>
      </c>
      <c r="Y19" s="28">
        <f t="shared" si="15"/>
        <v>2946.7913835372606</v>
      </c>
      <c r="Z19" s="29">
        <v>7</v>
      </c>
    </row>
    <row r="20" spans="1:26" ht="15" x14ac:dyDescent="0.25">
      <c r="A20">
        <v>8</v>
      </c>
      <c r="B20" s="30">
        <f t="shared" si="16"/>
        <v>4754.9502494999997</v>
      </c>
      <c r="C20" s="31">
        <f t="shared" si="7"/>
        <v>0.95099004989999991</v>
      </c>
      <c r="D20" s="25">
        <v>14.9</v>
      </c>
      <c r="E20" s="25">
        <v>12.57</v>
      </c>
      <c r="F20" s="26">
        <f t="shared" si="8"/>
        <v>1.2667700813876164</v>
      </c>
      <c r="G20" s="26">
        <f t="shared" si="9"/>
        <v>25.99</v>
      </c>
      <c r="H20" s="23">
        <f t="shared" si="10"/>
        <v>161.81654860546871</v>
      </c>
      <c r="I20" s="23">
        <f t="shared" si="11"/>
        <v>3500</v>
      </c>
      <c r="J20" s="23">
        <f t="shared" si="12"/>
        <v>12.897992532016451</v>
      </c>
      <c r="K20" s="37">
        <f t="shared" si="0"/>
        <v>613.29312808160762</v>
      </c>
      <c r="L20" s="17">
        <f t="shared" si="1"/>
        <v>48.943059730499989</v>
      </c>
      <c r="M20" s="17">
        <f t="shared" si="2"/>
        <v>451.7820898199999</v>
      </c>
      <c r="N20" s="38">
        <f t="shared" si="3"/>
        <v>9.2307692307692299</v>
      </c>
      <c r="O20" s="17"/>
      <c r="P20" s="28">
        <f t="shared" si="4"/>
        <v>564.35006835110767</v>
      </c>
      <c r="Q20" s="28">
        <f t="shared" si="13"/>
        <v>4239.2083970477433</v>
      </c>
      <c r="R20" s="29">
        <v>8</v>
      </c>
      <c r="U20" s="23">
        <f t="shared" si="5"/>
        <v>613.29312808160762</v>
      </c>
      <c r="V20" s="28">
        <f t="shared" si="14"/>
        <v>4678.3454837282434</v>
      </c>
      <c r="W20" s="29">
        <v>8</v>
      </c>
      <c r="X20" s="28">
        <f t="shared" si="6"/>
        <v>425.4865794761389</v>
      </c>
      <c r="Y20" s="28">
        <f t="shared" si="15"/>
        <v>3372.2779630133996</v>
      </c>
      <c r="Z20" s="29">
        <v>8</v>
      </c>
    </row>
    <row r="21" spans="1:26" ht="15" x14ac:dyDescent="0.25">
      <c r="A21">
        <v>9</v>
      </c>
      <c r="B21" s="30">
        <f t="shared" si="16"/>
        <v>4707.4007470050001</v>
      </c>
      <c r="C21" s="31">
        <f t="shared" si="7"/>
        <v>0.941480149401</v>
      </c>
      <c r="D21" s="25">
        <v>14.9</v>
      </c>
      <c r="E21" s="25">
        <v>12.57</v>
      </c>
      <c r="F21" s="26">
        <f t="shared" si="8"/>
        <v>1.3047731838292449</v>
      </c>
      <c r="G21" s="26">
        <f t="shared" si="9"/>
        <v>25.99</v>
      </c>
      <c r="H21" s="23">
        <f t="shared" si="10"/>
        <v>169.90737603574215</v>
      </c>
      <c r="I21" s="23">
        <f t="shared" si="11"/>
        <v>3500</v>
      </c>
      <c r="J21" s="23">
        <f t="shared" si="12"/>
        <v>13.194646360252829</v>
      </c>
      <c r="K21" s="37">
        <f t="shared" si="0"/>
        <v>621.12488132720978</v>
      </c>
      <c r="L21" s="17">
        <f t="shared" si="1"/>
        <v>47.088629133194999</v>
      </c>
      <c r="M21" s="17">
        <f t="shared" si="2"/>
        <v>434.66426892179999</v>
      </c>
      <c r="N21" s="38">
        <f t="shared" si="3"/>
        <v>9.2307692307692299</v>
      </c>
      <c r="O21" s="17"/>
      <c r="P21" s="28">
        <f t="shared" si="4"/>
        <v>574.03625219401476</v>
      </c>
      <c r="Q21" s="28">
        <f t="shared" si="13"/>
        <v>4813.2446492417585</v>
      </c>
      <c r="R21" s="29">
        <v>9</v>
      </c>
      <c r="U21" s="23">
        <f t="shared" si="5"/>
        <v>621.12488132720978</v>
      </c>
      <c r="V21" s="28">
        <f t="shared" si="14"/>
        <v>5299.4703650554529</v>
      </c>
      <c r="W21" s="29">
        <v>9</v>
      </c>
      <c r="X21" s="28">
        <f t="shared" si="6"/>
        <v>425.22750529146765</v>
      </c>
      <c r="Y21" s="28">
        <f t="shared" si="15"/>
        <v>3797.5054683048675</v>
      </c>
      <c r="Z21" s="29">
        <v>9</v>
      </c>
    </row>
    <row r="22" spans="1:26" ht="15" x14ac:dyDescent="0.25">
      <c r="A22">
        <v>10</v>
      </c>
      <c r="B22" s="30">
        <f t="shared" si="16"/>
        <v>4660.3267395349503</v>
      </c>
      <c r="C22" s="31">
        <f t="shared" si="7"/>
        <v>0.93206534790699003</v>
      </c>
      <c r="D22" s="25">
        <v>14.9</v>
      </c>
      <c r="E22" s="25">
        <v>12.57</v>
      </c>
      <c r="F22" s="26">
        <f t="shared" si="8"/>
        <v>1.3439163793441222</v>
      </c>
      <c r="G22" s="26">
        <f t="shared" si="9"/>
        <v>25.99</v>
      </c>
      <c r="H22" s="23">
        <f t="shared" si="10"/>
        <v>178.40274483752924</v>
      </c>
      <c r="I22" s="23">
        <f t="shared" si="11"/>
        <v>3500</v>
      </c>
      <c r="J22" s="23">
        <f t="shared" si="12"/>
        <v>13.498123226538643</v>
      </c>
      <c r="K22" s="37">
        <f t="shared" si="0"/>
        <v>629.05664606175822</v>
      </c>
      <c r="L22" s="17">
        <f t="shared" si="1"/>
        <v>45.252742841863068</v>
      </c>
      <c r="M22" s="17">
        <f t="shared" si="2"/>
        <v>417.71762623258212</v>
      </c>
      <c r="N22" s="38">
        <f t="shared" si="3"/>
        <v>9.2307692307692299</v>
      </c>
      <c r="O22" s="17"/>
      <c r="P22" s="28">
        <f t="shared" si="4"/>
        <v>583.80390321989512</v>
      </c>
      <c r="Q22" s="28">
        <f t="shared" si="13"/>
        <v>5397.0485524616533</v>
      </c>
      <c r="R22" s="29">
        <v>10</v>
      </c>
      <c r="U22" s="23">
        <f t="shared" si="5"/>
        <v>629.05664606175822</v>
      </c>
      <c r="V22" s="28">
        <f t="shared" si="14"/>
        <v>5928.5270111172113</v>
      </c>
      <c r="W22" s="29">
        <v>10</v>
      </c>
      <c r="X22" s="28">
        <f t="shared" si="6"/>
        <v>424.66390122422899</v>
      </c>
      <c r="Y22" s="28">
        <f t="shared" si="15"/>
        <v>4222.169369529096</v>
      </c>
      <c r="Z22" s="29">
        <v>10</v>
      </c>
    </row>
    <row r="23" spans="1:26" ht="15" x14ac:dyDescent="0.25">
      <c r="A23">
        <v>11</v>
      </c>
      <c r="B23" s="30">
        <f t="shared" si="16"/>
        <v>4613.7234721396007</v>
      </c>
      <c r="C23" s="31">
        <f t="shared" si="7"/>
        <v>0.92274469442792018</v>
      </c>
      <c r="D23" s="25">
        <v>14.9</v>
      </c>
      <c r="E23" s="25">
        <v>12.57</v>
      </c>
      <c r="F23" s="26">
        <f t="shared" si="8"/>
        <v>1.3842338707244459</v>
      </c>
      <c r="G23" s="26">
        <f t="shared" si="9"/>
        <v>25.99</v>
      </c>
      <c r="H23" s="23">
        <f t="shared" si="10"/>
        <v>187.3228820794057</v>
      </c>
      <c r="I23" s="23">
        <f t="shared" si="11"/>
        <v>3500</v>
      </c>
      <c r="J23" s="23">
        <f t="shared" si="12"/>
        <v>13.808580060749032</v>
      </c>
      <c r="K23" s="37">
        <f t="shared" si="0"/>
        <v>637.08969943196678</v>
      </c>
      <c r="L23" s="17">
        <f t="shared" si="1"/>
        <v>43.435215413444432</v>
      </c>
      <c r="M23" s="17">
        <f t="shared" si="2"/>
        <v>400.94044997025622</v>
      </c>
      <c r="N23" s="38">
        <f t="shared" si="3"/>
        <v>9.2307692307692299</v>
      </c>
      <c r="O23" s="17"/>
      <c r="P23" s="28">
        <f t="shared" si="4"/>
        <v>593.65448401852234</v>
      </c>
      <c r="Q23" s="28">
        <f t="shared" si="13"/>
        <v>5990.7030364801758</v>
      </c>
      <c r="R23" s="29">
        <v>11</v>
      </c>
      <c r="U23" s="23">
        <f t="shared" si="5"/>
        <v>637.08969943196678</v>
      </c>
      <c r="V23" s="28">
        <f t="shared" si="14"/>
        <v>6565.6167105491777</v>
      </c>
      <c r="W23" s="29">
        <v>11</v>
      </c>
      <c r="X23" s="28">
        <f t="shared" si="6"/>
        <v>423.77681735256107</v>
      </c>
      <c r="Y23" s="28">
        <f t="shared" si="15"/>
        <v>4645.946186881657</v>
      </c>
      <c r="Z23" s="29">
        <v>11</v>
      </c>
    </row>
    <row r="24" spans="1:26" ht="15" x14ac:dyDescent="0.25">
      <c r="A24">
        <v>12</v>
      </c>
      <c r="B24" s="30">
        <f t="shared" si="16"/>
        <v>4567.5862374182043</v>
      </c>
      <c r="C24" s="31">
        <f t="shared" si="7"/>
        <v>0.91351724748364083</v>
      </c>
      <c r="D24" s="25">
        <v>14.9</v>
      </c>
      <c r="E24" s="25">
        <v>12.57</v>
      </c>
      <c r="F24" s="26">
        <f t="shared" si="8"/>
        <v>1.4257608868461793</v>
      </c>
      <c r="G24" s="26">
        <f t="shared" si="9"/>
        <v>25.99</v>
      </c>
      <c r="H24" s="23">
        <f t="shared" si="10"/>
        <v>196.68902618337597</v>
      </c>
      <c r="I24" s="23">
        <f t="shared" si="11"/>
        <v>3500</v>
      </c>
      <c r="J24" s="23">
        <f t="shared" si="12"/>
        <v>14.12617740214626</v>
      </c>
      <c r="K24" s="37">
        <f t="shared" si="0"/>
        <v>645.22533489371301</v>
      </c>
      <c r="L24" s="17">
        <f t="shared" si="1"/>
        <v>41.635863259309964</v>
      </c>
      <c r="M24" s="17">
        <f t="shared" si="2"/>
        <v>384.33104547055353</v>
      </c>
      <c r="N24" s="38">
        <f t="shared" si="3"/>
        <v>9.2307692307692317</v>
      </c>
      <c r="O24" s="17"/>
      <c r="P24" s="28">
        <f t="shared" si="4"/>
        <v>603.58947163440303</v>
      </c>
      <c r="Q24" s="28">
        <f t="shared" si="13"/>
        <v>6594.2925081145786</v>
      </c>
      <c r="R24" s="29">
        <v>12</v>
      </c>
      <c r="U24" s="23">
        <f t="shared" si="5"/>
        <v>645.22533489371301</v>
      </c>
      <c r="V24" s="28">
        <f t="shared" si="14"/>
        <v>7210.8420454428906</v>
      </c>
      <c r="W24" s="29">
        <v>12</v>
      </c>
      <c r="X24" s="28">
        <f t="shared" si="6"/>
        <v>422.54630871033703</v>
      </c>
      <c r="Y24" s="28">
        <f t="shared" si="15"/>
        <v>5068.4924955919942</v>
      </c>
      <c r="Z24" s="29">
        <v>12</v>
      </c>
    </row>
    <row r="25" spans="1:26" ht="15" x14ac:dyDescent="0.25">
      <c r="A25">
        <v>13</v>
      </c>
      <c r="B25" s="30">
        <f t="shared" si="16"/>
        <v>4521.9103750440227</v>
      </c>
      <c r="C25" s="31">
        <f t="shared" si="7"/>
        <v>0.90438207500880452</v>
      </c>
      <c r="D25" s="25">
        <v>14.9</v>
      </c>
      <c r="E25" s="25">
        <v>12.57</v>
      </c>
      <c r="F25" s="26">
        <f t="shared" si="8"/>
        <v>1.4685337134515648</v>
      </c>
      <c r="G25" s="26">
        <f t="shared" si="9"/>
        <v>25.99</v>
      </c>
      <c r="H25" s="23">
        <f t="shared" si="10"/>
        <v>206.52347749254477</v>
      </c>
      <c r="I25" s="23">
        <f t="shared" si="11"/>
        <v>3500</v>
      </c>
      <c r="J25" s="23">
        <f t="shared" si="12"/>
        <v>14.451079482395624</v>
      </c>
      <c r="K25" s="37">
        <f t="shared" si="0"/>
        <v>653.46486242030585</v>
      </c>
      <c r="L25" s="17">
        <f t="shared" si="1"/>
        <v>39.854504626716881</v>
      </c>
      <c r="M25" s="17">
        <f t="shared" si="2"/>
        <v>367.88773501584814</v>
      </c>
      <c r="N25" s="38">
        <f t="shared" si="3"/>
        <v>9.2307692307692299</v>
      </c>
      <c r="O25" s="17"/>
      <c r="P25" s="28">
        <f t="shared" si="4"/>
        <v>613.61035779358895</v>
      </c>
      <c r="Q25" s="28">
        <f t="shared" si="13"/>
        <v>7207.9028659081678</v>
      </c>
      <c r="R25" s="29">
        <v>13</v>
      </c>
      <c r="U25" s="23">
        <f t="shared" si="5"/>
        <v>653.46486242030585</v>
      </c>
      <c r="V25" s="28">
        <f t="shared" si="14"/>
        <v>7864.3069078631961</v>
      </c>
      <c r="W25" s="29">
        <v>13</v>
      </c>
      <c r="X25" s="28">
        <f t="shared" si="6"/>
        <v>420.95138492776107</v>
      </c>
      <c r="Y25" s="28">
        <f t="shared" si="15"/>
        <v>5489.4438805197551</v>
      </c>
      <c r="Z25" s="29">
        <v>13</v>
      </c>
    </row>
    <row r="26" spans="1:26" ht="15" x14ac:dyDescent="0.25">
      <c r="A26">
        <v>14</v>
      </c>
      <c r="B26" s="30">
        <f t="shared" si="16"/>
        <v>4476.6912712935828</v>
      </c>
      <c r="C26" s="31">
        <f t="shared" si="7"/>
        <v>0.8953382542587166</v>
      </c>
      <c r="D26" s="25">
        <v>14.9</v>
      </c>
      <c r="E26" s="25">
        <v>12.57</v>
      </c>
      <c r="F26" s="26">
        <f t="shared" si="8"/>
        <v>1.5125897248551119</v>
      </c>
      <c r="G26" s="26">
        <f t="shared" si="9"/>
        <v>25.99</v>
      </c>
      <c r="H26" s="23">
        <f t="shared" si="10"/>
        <v>216.84965136717202</v>
      </c>
      <c r="I26" s="23">
        <f t="shared" si="11"/>
        <v>3500</v>
      </c>
      <c r="J26" s="23">
        <f t="shared" si="12"/>
        <v>14.783454310490724</v>
      </c>
      <c r="K26" s="37">
        <f t="shared" si="0"/>
        <v>661.80960871341313</v>
      </c>
      <c r="L26" s="17">
        <f t="shared" si="1"/>
        <v>38.090959580449727</v>
      </c>
      <c r="M26" s="17">
        <f t="shared" si="2"/>
        <v>351.60885766568975</v>
      </c>
      <c r="N26" s="38">
        <f t="shared" si="3"/>
        <v>9.2307692307692299</v>
      </c>
      <c r="O26" s="17"/>
      <c r="P26" s="28">
        <f t="shared" si="4"/>
        <v>623.71864913296338</v>
      </c>
      <c r="Q26" s="28">
        <f t="shared" si="13"/>
        <v>7831.6215150411308</v>
      </c>
      <c r="R26" s="29">
        <v>14</v>
      </c>
      <c r="U26" s="23">
        <f t="shared" si="5"/>
        <v>661.80960871341313</v>
      </c>
      <c r="V26" s="28">
        <f t="shared" si="14"/>
        <v>8526.1165165766088</v>
      </c>
      <c r="W26" s="29">
        <v>14</v>
      </c>
      <c r="X26" s="28">
        <f t="shared" si="6"/>
        <v>418.96995734624113</v>
      </c>
      <c r="Y26" s="28">
        <f t="shared" si="15"/>
        <v>5908.4138378659964</v>
      </c>
      <c r="Z26" s="29">
        <v>14</v>
      </c>
    </row>
    <row r="27" spans="1:26" ht="15" x14ac:dyDescent="0.25">
      <c r="A27">
        <v>15</v>
      </c>
      <c r="B27" s="30">
        <f t="shared" si="16"/>
        <v>4431.9243585806471</v>
      </c>
      <c r="C27" s="31">
        <f t="shared" si="7"/>
        <v>0.88638487171612945</v>
      </c>
      <c r="D27" s="25">
        <v>14.9</v>
      </c>
      <c r="E27" s="25">
        <v>12.57</v>
      </c>
      <c r="F27" s="26">
        <f t="shared" si="8"/>
        <v>1.5579674166007653</v>
      </c>
      <c r="G27" s="26">
        <f t="shared" si="9"/>
        <v>25.99</v>
      </c>
      <c r="H27" s="23">
        <f t="shared" si="10"/>
        <v>227.69213393553062</v>
      </c>
      <c r="I27" s="23">
        <f t="shared" si="11"/>
        <v>3500</v>
      </c>
      <c r="J27" s="23">
        <f t="shared" si="12"/>
        <v>15.123473759632009</v>
      </c>
      <c r="K27" s="37">
        <f t="shared" si="0"/>
        <v>670.26091741668336</v>
      </c>
      <c r="L27" s="17">
        <f t="shared" si="1"/>
        <v>36.345049984645236</v>
      </c>
      <c r="M27" s="17">
        <f t="shared" si="2"/>
        <v>335.49276908903295</v>
      </c>
      <c r="N27" s="38">
        <f t="shared" si="3"/>
        <v>9.2307692307692299</v>
      </c>
      <c r="O27" s="17"/>
      <c r="P27" s="28">
        <f t="shared" si="4"/>
        <v>633.91586743203811</v>
      </c>
      <c r="Q27" s="28">
        <f t="shared" si="13"/>
        <v>8465.5373824731687</v>
      </c>
      <c r="R27" s="29">
        <v>15</v>
      </c>
      <c r="U27" s="23">
        <f t="shared" si="5"/>
        <v>670.26091741668336</v>
      </c>
      <c r="V27" s="28">
        <f t="shared" si="14"/>
        <v>9196.3774339932916</v>
      </c>
      <c r="W27" s="29">
        <v>15</v>
      </c>
      <c r="X27" s="28">
        <f t="shared" si="6"/>
        <v>416.57878348115275</v>
      </c>
      <c r="Y27" s="28">
        <f t="shared" si="15"/>
        <v>6324.992621347149</v>
      </c>
      <c r="Z27" s="29">
        <v>15</v>
      </c>
    </row>
    <row r="28" spans="1:26" ht="15" x14ac:dyDescent="0.25">
      <c r="A28">
        <v>16</v>
      </c>
      <c r="B28" s="30">
        <f t="shared" si="16"/>
        <v>4387.6051149948407</v>
      </c>
      <c r="C28" s="31">
        <f t="shared" si="7"/>
        <v>0.87752102299896817</v>
      </c>
      <c r="D28" s="25">
        <v>14.9</v>
      </c>
      <c r="E28" s="25">
        <v>12.57</v>
      </c>
      <c r="F28" s="26">
        <f t="shared" si="8"/>
        <v>1.6047064390987884</v>
      </c>
      <c r="G28" s="26">
        <f t="shared" si="9"/>
        <v>25.99</v>
      </c>
      <c r="H28" s="23">
        <f t="shared" si="10"/>
        <v>239.07674063230715</v>
      </c>
      <c r="I28" s="23">
        <f t="shared" si="11"/>
        <v>3500</v>
      </c>
      <c r="J28" s="23">
        <f t="shared" si="12"/>
        <v>15.471313656103545</v>
      </c>
      <c r="K28" s="37">
        <f t="shared" si="0"/>
        <v>678.82014933209439</v>
      </c>
      <c r="L28" s="17">
        <f t="shared" si="1"/>
        <v>34.61659948479879</v>
      </c>
      <c r="M28" s="17">
        <f t="shared" si="2"/>
        <v>319.53784139814263</v>
      </c>
      <c r="N28" s="38">
        <f t="shared" si="3"/>
        <v>9.2307692307692299</v>
      </c>
      <c r="O28" s="17"/>
      <c r="P28" s="28">
        <f t="shared" si="4"/>
        <v>644.20354984729556</v>
      </c>
      <c r="Q28" s="28">
        <f t="shared" si="13"/>
        <v>9109.7409323204647</v>
      </c>
      <c r="R28" s="29">
        <v>16</v>
      </c>
      <c r="U28" s="23">
        <f t="shared" si="5"/>
        <v>678.82014933209439</v>
      </c>
      <c r="V28" s="28">
        <f t="shared" si="14"/>
        <v>9875.1975833253855</v>
      </c>
      <c r="W28" s="29">
        <v>16</v>
      </c>
      <c r="X28" s="28">
        <f t="shared" si="6"/>
        <v>413.7534086997872</v>
      </c>
      <c r="Y28" s="28">
        <f t="shared" si="15"/>
        <v>6738.7460300469365</v>
      </c>
      <c r="Z28" s="29">
        <v>16</v>
      </c>
    </row>
    <row r="29" spans="1:26" ht="15" x14ac:dyDescent="0.25">
      <c r="A29">
        <v>17</v>
      </c>
      <c r="B29" s="30">
        <f t="shared" si="16"/>
        <v>4343.7290638448922</v>
      </c>
      <c r="C29" s="31">
        <f t="shared" si="7"/>
        <v>0.86874581276897844</v>
      </c>
      <c r="D29" s="25">
        <v>14.9</v>
      </c>
      <c r="E29" s="25">
        <v>12.57</v>
      </c>
      <c r="F29" s="26">
        <f t="shared" si="8"/>
        <v>1.652847632271752</v>
      </c>
      <c r="G29" s="26">
        <f t="shared" si="9"/>
        <v>25.99</v>
      </c>
      <c r="H29" s="23">
        <f t="shared" si="10"/>
        <v>251.03057766392251</v>
      </c>
      <c r="I29" s="23">
        <f t="shared" si="11"/>
        <v>3500</v>
      </c>
      <c r="J29" s="23">
        <f t="shared" si="12"/>
        <v>15.827153870193927</v>
      </c>
      <c r="K29" s="37">
        <f t="shared" si="0"/>
        <v>687.48868263906525</v>
      </c>
      <c r="L29" s="17">
        <f t="shared" si="1"/>
        <v>32.905433489950795</v>
      </c>
      <c r="M29" s="17">
        <f t="shared" si="2"/>
        <v>303.74246298416114</v>
      </c>
      <c r="N29" s="38">
        <f t="shared" si="3"/>
        <v>9.2307692307692299</v>
      </c>
      <c r="O29" s="17"/>
      <c r="P29" s="28">
        <f t="shared" si="4"/>
        <v>654.58324914911441</v>
      </c>
      <c r="Q29" s="28">
        <f t="shared" si="13"/>
        <v>9764.3241814695793</v>
      </c>
      <c r="R29" s="29">
        <v>17</v>
      </c>
      <c r="U29" s="23">
        <f t="shared" si="5"/>
        <v>687.48868263906525</v>
      </c>
      <c r="V29" s="28">
        <f t="shared" si="14"/>
        <v>10562.68626596445</v>
      </c>
      <c r="W29" s="29">
        <v>17</v>
      </c>
      <c r="X29" s="28">
        <f t="shared" si="6"/>
        <v>410.46810497514275</v>
      </c>
      <c r="Y29" s="28">
        <f t="shared" si="15"/>
        <v>7149.2141350220791</v>
      </c>
      <c r="Z29" s="29">
        <v>17</v>
      </c>
    </row>
    <row r="30" spans="1:26" ht="15" x14ac:dyDescent="0.25">
      <c r="A30">
        <v>18</v>
      </c>
      <c r="B30" s="30">
        <f t="shared" si="16"/>
        <v>4300.2917732064434</v>
      </c>
      <c r="C30" s="31">
        <f t="shared" si="7"/>
        <v>0.86005835464128866</v>
      </c>
      <c r="D30" s="25">
        <v>14.9</v>
      </c>
      <c r="E30" s="25">
        <v>12.57</v>
      </c>
      <c r="F30" s="26">
        <f t="shared" si="8"/>
        <v>1.7024330612399046</v>
      </c>
      <c r="G30" s="26">
        <f t="shared" si="9"/>
        <v>25.99</v>
      </c>
      <c r="H30" s="23">
        <f t="shared" si="10"/>
        <v>263.58210654711866</v>
      </c>
      <c r="I30" s="23">
        <f t="shared" si="11"/>
        <v>3500</v>
      </c>
      <c r="J30" s="23">
        <f t="shared" si="12"/>
        <v>16.191178409208387</v>
      </c>
      <c r="K30" s="37">
        <f t="shared" si="0"/>
        <v>696.26791311636612</v>
      </c>
      <c r="L30" s="17">
        <f t="shared" si="1"/>
        <v>31.21137915505129</v>
      </c>
      <c r="M30" s="17">
        <f t="shared" si="2"/>
        <v>288.10503835431962</v>
      </c>
      <c r="N30" s="38">
        <f t="shared" si="3"/>
        <v>9.2307692307692317</v>
      </c>
      <c r="O30" s="17"/>
      <c r="P30" s="28">
        <f t="shared" si="4"/>
        <v>665.05653396131481</v>
      </c>
      <c r="Q30" s="28">
        <f t="shared" si="13"/>
        <v>10429.380715430894</v>
      </c>
      <c r="R30" s="29">
        <v>18</v>
      </c>
      <c r="U30" s="23">
        <f t="shared" si="5"/>
        <v>696.26791311636612</v>
      </c>
      <c r="V30" s="28">
        <f t="shared" si="14"/>
        <v>11258.954179080816</v>
      </c>
      <c r="W30" s="29">
        <v>18</v>
      </c>
      <c r="X30" s="28">
        <f t="shared" si="6"/>
        <v>406.69580656924745</v>
      </c>
      <c r="Y30" s="28">
        <f t="shared" si="15"/>
        <v>7555.9099415913261</v>
      </c>
      <c r="Z30" s="29">
        <v>18</v>
      </c>
    </row>
    <row r="31" spans="1:26" ht="15" x14ac:dyDescent="0.25">
      <c r="A31">
        <v>19</v>
      </c>
      <c r="B31" s="30">
        <f t="shared" si="16"/>
        <v>4257.2888554743786</v>
      </c>
      <c r="C31" s="31">
        <f t="shared" si="7"/>
        <v>0.85145777109487575</v>
      </c>
      <c r="D31" s="25">
        <v>14.9</v>
      </c>
      <c r="E31" s="25">
        <v>12.57</v>
      </c>
      <c r="F31" s="26">
        <f t="shared" si="8"/>
        <v>1.7535060530771018</v>
      </c>
      <c r="G31" s="26">
        <f t="shared" si="9"/>
        <v>25.99</v>
      </c>
      <c r="H31" s="23">
        <f t="shared" si="10"/>
        <v>276.76121187447461</v>
      </c>
      <c r="I31" s="23">
        <f t="shared" si="11"/>
        <v>3500</v>
      </c>
      <c r="J31" s="23">
        <f t="shared" si="12"/>
        <v>16.563575512620179</v>
      </c>
      <c r="K31" s="37">
        <f t="shared" si="0"/>
        <v>705.159254366862</v>
      </c>
      <c r="L31" s="17">
        <f t="shared" si="1"/>
        <v>29.534265363500761</v>
      </c>
      <c r="M31" s="17">
        <f t="shared" si="2"/>
        <v>272.62398797077628</v>
      </c>
      <c r="N31" s="38">
        <f t="shared" si="3"/>
        <v>9.2307692307692317</v>
      </c>
      <c r="O31" s="17"/>
      <c r="P31" s="28">
        <f t="shared" si="4"/>
        <v>675.62498900336129</v>
      </c>
      <c r="Q31" s="28">
        <f t="shared" si="13"/>
        <v>11105.005704434256</v>
      </c>
      <c r="R31" s="29">
        <v>19</v>
      </c>
      <c r="U31" s="23">
        <f t="shared" si="5"/>
        <v>705.159254366862</v>
      </c>
      <c r="V31" s="28">
        <f t="shared" si="14"/>
        <v>11964.113433447677</v>
      </c>
      <c r="W31" s="29">
        <v>19</v>
      </c>
      <c r="X31" s="28">
        <f t="shared" si="6"/>
        <v>402.40804249238738</v>
      </c>
      <c r="Y31" s="28">
        <f t="shared" si="15"/>
        <v>7958.3179840837138</v>
      </c>
      <c r="Z31" s="29">
        <v>19</v>
      </c>
    </row>
    <row r="32" spans="1:26" ht="15" x14ac:dyDescent="0.25">
      <c r="A32">
        <v>20</v>
      </c>
      <c r="B32" s="30">
        <f t="shared" si="16"/>
        <v>4214.7159669196344</v>
      </c>
      <c r="C32" s="31">
        <f t="shared" si="7"/>
        <v>0.84294319338392687</v>
      </c>
      <c r="D32" s="25">
        <v>14.9</v>
      </c>
      <c r="E32" s="25">
        <v>12.57</v>
      </c>
      <c r="F32" s="26">
        <f t="shared" si="8"/>
        <v>1.806111234669415</v>
      </c>
      <c r="G32" s="26">
        <f t="shared" si="9"/>
        <v>25.99</v>
      </c>
      <c r="H32" s="23">
        <f t="shared" si="10"/>
        <v>290.59927246819836</v>
      </c>
      <c r="I32" s="23">
        <f t="shared" si="11"/>
        <v>3500</v>
      </c>
      <c r="J32" s="23">
        <f t="shared" si="12"/>
        <v>16.944537749410443</v>
      </c>
      <c r="K32" s="37">
        <f t="shared" si="0"/>
        <v>714.16413804512695</v>
      </c>
      <c r="L32" s="17">
        <f t="shared" si="1"/>
        <v>27.873922709865742</v>
      </c>
      <c r="M32" s="17">
        <f t="shared" si="2"/>
        <v>257.2977480910684</v>
      </c>
      <c r="N32" s="38">
        <f t="shared" si="3"/>
        <v>9.2307692307692317</v>
      </c>
      <c r="O32" s="17"/>
      <c r="P32" s="28">
        <f t="shared" si="4"/>
        <v>686.29021533526122</v>
      </c>
      <c r="Q32" s="28">
        <f t="shared" si="13"/>
        <v>11791.295919769516</v>
      </c>
      <c r="R32" s="29">
        <v>20</v>
      </c>
      <c r="U32" s="23">
        <f t="shared" si="5"/>
        <v>714.16413804512695</v>
      </c>
      <c r="V32" s="28">
        <f t="shared" si="14"/>
        <v>12678.277571492805</v>
      </c>
      <c r="W32" s="29">
        <v>20</v>
      </c>
      <c r="X32" s="28">
        <f t="shared" si="6"/>
        <v>397.57486557692857</v>
      </c>
      <c r="Y32" s="28">
        <f t="shared" si="15"/>
        <v>8355.8928496606422</v>
      </c>
      <c r="Z32" s="29">
        <v>20</v>
      </c>
    </row>
    <row r="33" spans="1:26" ht="15" x14ac:dyDescent="0.25">
      <c r="A33">
        <v>21</v>
      </c>
      <c r="B33" s="30">
        <f t="shared" si="16"/>
        <v>4172.5688072504381</v>
      </c>
      <c r="C33" s="31">
        <f t="shared" si="7"/>
        <v>0.8345137614500876</v>
      </c>
      <c r="D33" s="25"/>
      <c r="E33" s="25"/>
      <c r="F33" s="26"/>
      <c r="G33" s="26">
        <f t="shared" si="9"/>
        <v>25.99</v>
      </c>
      <c r="H33" s="23">
        <f t="shared" si="10"/>
        <v>305.12923609160828</v>
      </c>
      <c r="I33" s="23">
        <f t="shared" si="11"/>
        <v>3500</v>
      </c>
      <c r="J33" s="23">
        <f t="shared" si="12"/>
        <v>17.334262117646883</v>
      </c>
      <c r="K33" s="37">
        <f t="shared" si="0"/>
        <v>723.2840140879631</v>
      </c>
      <c r="L33" s="17">
        <f t="shared" si="1"/>
        <v>26.230183482767085</v>
      </c>
      <c r="M33" s="17">
        <f t="shared" si="2"/>
        <v>242.12477061015773</v>
      </c>
      <c r="N33" s="38">
        <f t="shared" si="3"/>
        <v>9.2307692307692317</v>
      </c>
      <c r="O33" s="17"/>
      <c r="P33" s="28">
        <f t="shared" si="4"/>
        <v>697.05383060519603</v>
      </c>
      <c r="Q33" s="28">
        <f t="shared" si="13"/>
        <v>12488.349750374713</v>
      </c>
      <c r="R33" s="29">
        <v>21</v>
      </c>
      <c r="U33" s="23">
        <f t="shared" si="5"/>
        <v>723.2840140879631</v>
      </c>
      <c r="V33" s="28">
        <f t="shared" si="14"/>
        <v>13401.561585580768</v>
      </c>
      <c r="W33" s="29">
        <v>21</v>
      </c>
      <c r="X33" s="28">
        <f t="shared" si="6"/>
        <v>392.16477799635481</v>
      </c>
      <c r="Y33" s="28">
        <f t="shared" si="15"/>
        <v>8748.0576276569973</v>
      </c>
      <c r="Z33" s="29">
        <v>21</v>
      </c>
    </row>
    <row r="34" spans="1:26" ht="15" x14ac:dyDescent="0.25">
      <c r="A34">
        <v>22</v>
      </c>
      <c r="B34" s="30">
        <f t="shared" si="16"/>
        <v>4130.8431191779337</v>
      </c>
      <c r="C34" s="31">
        <f t="shared" si="7"/>
        <v>0.82616862383558676</v>
      </c>
      <c r="D34" s="25"/>
      <c r="E34" s="25"/>
      <c r="F34" s="26"/>
      <c r="G34" s="26">
        <f t="shared" si="9"/>
        <v>25.99</v>
      </c>
      <c r="H34" s="23">
        <f t="shared" si="10"/>
        <v>320.38569789618867</v>
      </c>
      <c r="I34" s="23">
        <f t="shared" si="11"/>
        <v>3500</v>
      </c>
      <c r="J34" s="23">
        <f t="shared" si="12"/>
        <v>17.73295014635276</v>
      </c>
      <c r="K34" s="37">
        <f t="shared" si="0"/>
        <v>732.52035094786629</v>
      </c>
      <c r="L34" s="17">
        <f t="shared" si="1"/>
        <v>24.602881647939412</v>
      </c>
      <c r="M34" s="17">
        <f t="shared" si="2"/>
        <v>227.10352290405612</v>
      </c>
      <c r="N34" s="38">
        <f t="shared" si="3"/>
        <v>9.2307692307692317</v>
      </c>
      <c r="O34" s="17"/>
      <c r="P34" s="28">
        <f t="shared" si="4"/>
        <v>707.91746929992689</v>
      </c>
      <c r="Q34" s="28">
        <f t="shared" si="13"/>
        <v>13196.267219674641</v>
      </c>
      <c r="R34" s="29">
        <v>22</v>
      </c>
      <c r="U34" s="23">
        <f t="shared" si="5"/>
        <v>732.52035094786629</v>
      </c>
      <c r="V34" s="28">
        <f t="shared" si="14"/>
        <v>14134.081936528635</v>
      </c>
      <c r="W34" s="29">
        <v>22</v>
      </c>
      <c r="X34" s="28">
        <f t="shared" si="6"/>
        <v>386.14465305167761</v>
      </c>
      <c r="Y34" s="28">
        <f t="shared" si="15"/>
        <v>9134.2022807086742</v>
      </c>
      <c r="Z34" s="29">
        <v>22</v>
      </c>
    </row>
    <row r="35" spans="1:26" ht="15" x14ac:dyDescent="0.25">
      <c r="A35">
        <v>23</v>
      </c>
      <c r="B35" s="30">
        <f t="shared" si="16"/>
        <v>4089.5346879861545</v>
      </c>
      <c r="C35" s="31">
        <f t="shared" si="7"/>
        <v>0.81790693759723088</v>
      </c>
      <c r="D35" s="25"/>
      <c r="E35" s="25"/>
      <c r="F35" s="26"/>
      <c r="G35" s="26">
        <f t="shared" si="9"/>
        <v>25.99</v>
      </c>
      <c r="H35" s="23">
        <f t="shared" si="10"/>
        <v>336.40498279099813</v>
      </c>
      <c r="I35" s="23">
        <f t="shared" si="11"/>
        <v>3500</v>
      </c>
      <c r="J35" s="23">
        <f t="shared" si="12"/>
        <v>18.140807999718874</v>
      </c>
      <c r="K35" s="37">
        <f t="shared" si="0"/>
        <v>741.87463582947066</v>
      </c>
      <c r="L35" s="17">
        <f t="shared" si="1"/>
        <v>22.991852831460022</v>
      </c>
      <c r="M35" s="17">
        <f t="shared" si="2"/>
        <v>212.23248767501562</v>
      </c>
      <c r="N35" s="38">
        <f t="shared" si="3"/>
        <v>9.2307692307692317</v>
      </c>
      <c r="O35" s="17"/>
      <c r="P35" s="28">
        <f t="shared" si="4"/>
        <v>718.88278299801061</v>
      </c>
      <c r="Q35" s="28">
        <f t="shared" si="13"/>
        <v>13915.150002672652</v>
      </c>
      <c r="R35" s="29">
        <v>23</v>
      </c>
      <c r="U35" s="23">
        <f t="shared" si="5"/>
        <v>741.87463582947066</v>
      </c>
      <c r="V35" s="28">
        <f t="shared" si="14"/>
        <v>14875.956572358105</v>
      </c>
      <c r="W35" s="29">
        <v>23</v>
      </c>
      <c r="X35" s="28">
        <f t="shared" si="6"/>
        <v>379.47965303847252</v>
      </c>
      <c r="Y35" s="28">
        <f t="shared" si="15"/>
        <v>9513.6819337471461</v>
      </c>
      <c r="Z35" s="29">
        <v>23</v>
      </c>
    </row>
    <row r="36" spans="1:26" ht="15" x14ac:dyDescent="0.25">
      <c r="A36">
        <v>24</v>
      </c>
      <c r="B36" s="30">
        <f t="shared" si="16"/>
        <v>4048.6393411062932</v>
      </c>
      <c r="C36" s="31">
        <f t="shared" si="7"/>
        <v>0.80972786822125864</v>
      </c>
      <c r="D36" s="25"/>
      <c r="E36" s="25"/>
      <c r="F36" s="26"/>
      <c r="G36" s="26">
        <f t="shared" si="9"/>
        <v>25.99</v>
      </c>
      <c r="H36" s="23">
        <f t="shared" si="10"/>
        <v>353.22523193054803</v>
      </c>
      <c r="I36" s="23">
        <f t="shared" si="11"/>
        <v>3500</v>
      </c>
      <c r="J36" s="23">
        <f t="shared" si="12"/>
        <v>18.558046583712407</v>
      </c>
      <c r="K36" s="37">
        <f t="shared" si="0"/>
        <v>751.34837492901295</v>
      </c>
      <c r="L36" s="17">
        <f t="shared" si="1"/>
        <v>21.396934303145432</v>
      </c>
      <c r="M36" s="17">
        <f t="shared" si="2"/>
        <v>197.51016279826553</v>
      </c>
      <c r="N36" s="38">
        <f t="shared" si="3"/>
        <v>9.2307692307692299</v>
      </c>
      <c r="O36" s="17"/>
      <c r="P36" s="28">
        <f t="shared" si="4"/>
        <v>729.95144062586746</v>
      </c>
      <c r="Q36" s="28">
        <f t="shared" si="13"/>
        <v>14645.101443298519</v>
      </c>
      <c r="R36" s="29">
        <v>24</v>
      </c>
      <c r="U36" s="23">
        <f t="shared" si="5"/>
        <v>751.34837492901295</v>
      </c>
      <c r="V36" s="28">
        <f t="shared" si="14"/>
        <v>15627.304947287119</v>
      </c>
      <c r="W36" s="29">
        <v>24</v>
      </c>
      <c r="X36" s="28">
        <f t="shared" si="6"/>
        <v>372.1331429984649</v>
      </c>
      <c r="Y36" s="28">
        <f t="shared" si="15"/>
        <v>9885.8150767456118</v>
      </c>
      <c r="Z36" s="29">
        <v>24</v>
      </c>
    </row>
    <row r="37" spans="1:26" ht="15" x14ac:dyDescent="0.25">
      <c r="A37">
        <v>25</v>
      </c>
      <c r="B37" s="30">
        <f t="shared" si="16"/>
        <v>4008.1529476952301</v>
      </c>
      <c r="C37" s="31">
        <f t="shared" si="7"/>
        <v>0.80163058953904598</v>
      </c>
      <c r="D37" s="25"/>
      <c r="E37" s="25"/>
      <c r="F37" s="26"/>
      <c r="G37" s="26">
        <f t="shared" si="9"/>
        <v>25.99</v>
      </c>
      <c r="H37" s="23">
        <f t="shared" si="10"/>
        <v>370.88649352707546</v>
      </c>
      <c r="I37" s="23">
        <f t="shared" si="11"/>
        <v>3500</v>
      </c>
      <c r="J37" s="23">
        <f t="shared" si="12"/>
        <v>18.984881655137794</v>
      </c>
      <c r="K37" s="37">
        <f t="shared" si="0"/>
        <v>760.94309367685651</v>
      </c>
      <c r="L37" s="17">
        <f t="shared" si="1"/>
        <v>19.817964960113972</v>
      </c>
      <c r="M37" s="17">
        <f t="shared" si="2"/>
        <v>182.93506117028281</v>
      </c>
      <c r="N37" s="38">
        <f t="shared" si="3"/>
        <v>9.2307692307692299</v>
      </c>
      <c r="O37" s="17"/>
      <c r="P37" s="28">
        <f t="shared" si="4"/>
        <v>741.12512871674255</v>
      </c>
      <c r="Q37" s="28">
        <f t="shared" si="13"/>
        <v>15386.226572015263</v>
      </c>
      <c r="R37" s="29">
        <v>25</v>
      </c>
      <c r="U37" s="23">
        <f t="shared" si="5"/>
        <v>760.94309367685651</v>
      </c>
      <c r="V37" s="28">
        <f t="shared" si="14"/>
        <v>16388.248040963976</v>
      </c>
      <c r="W37" s="29">
        <v>25</v>
      </c>
      <c r="X37" s="28">
        <f t="shared" si="6"/>
        <v>364.06660014978104</v>
      </c>
      <c r="Y37" s="28">
        <f t="shared" si="15"/>
        <v>10249.881676895393</v>
      </c>
      <c r="Z37" s="29">
        <v>25</v>
      </c>
    </row>
    <row r="38" spans="1:26" ht="15" x14ac:dyDescent="0.25">
      <c r="A38">
        <v>26</v>
      </c>
      <c r="B38" s="30">
        <f>B37-(1%*B37)</f>
        <v>3968.0714182182778</v>
      </c>
      <c r="C38" s="31">
        <f t="shared" si="7"/>
        <v>0.7936142836436556</v>
      </c>
      <c r="D38" s="25"/>
      <c r="E38" s="25"/>
      <c r="F38" s="26"/>
      <c r="G38" s="26">
        <f t="shared" si="9"/>
        <v>25.99</v>
      </c>
      <c r="H38" s="23">
        <f t="shared" si="10"/>
        <v>389.43081820342923</v>
      </c>
      <c r="I38" s="23">
        <f t="shared" si="11"/>
        <v>3500</v>
      </c>
      <c r="J38" s="23">
        <f>J37+(J37*J$11)</f>
        <v>19.421533933205964</v>
      </c>
      <c r="K38" s="37">
        <f t="shared" si="0"/>
        <v>770.66033698311003</v>
      </c>
      <c r="L38" s="17">
        <f t="shared" si="1"/>
        <v>18.254785310512833</v>
      </c>
      <c r="M38" s="17">
        <f t="shared" si="2"/>
        <v>168.50571055858001</v>
      </c>
      <c r="N38" s="38">
        <f t="shared" si="3"/>
        <v>9.2307692307692317</v>
      </c>
      <c r="O38" s="17"/>
      <c r="P38" s="28">
        <f t="shared" si="4"/>
        <v>752.4055516725972</v>
      </c>
      <c r="Q38" s="28">
        <f>Q37+P38</f>
        <v>16138.632123687859</v>
      </c>
      <c r="R38" s="29">
        <v>26</v>
      </c>
      <c r="U38" s="23">
        <f t="shared" si="5"/>
        <v>770.66033698311003</v>
      </c>
      <c r="V38" s="28">
        <f>V37+U38</f>
        <v>17158.908377947086</v>
      </c>
      <c r="W38" s="29">
        <v>26</v>
      </c>
      <c r="X38" s="28">
        <f t="shared" si="6"/>
        <v>355.23951877968079</v>
      </c>
      <c r="Y38" s="28">
        <f>Y37+X38</f>
        <v>10605.121195675074</v>
      </c>
      <c r="Z38" s="29">
        <v>26</v>
      </c>
    </row>
    <row r="39" spans="1:26" ht="15" x14ac:dyDescent="0.25">
      <c r="A39">
        <v>27</v>
      </c>
      <c r="B39" s="30">
        <f>B38-(1%*B38)</f>
        <v>3928.390704036095</v>
      </c>
      <c r="C39" s="31">
        <f t="shared" si="7"/>
        <v>0.78567814080721898</v>
      </c>
      <c r="D39" s="25"/>
      <c r="E39" s="25"/>
      <c r="F39" s="26"/>
      <c r="G39" s="26">
        <f t="shared" si="9"/>
        <v>25.99</v>
      </c>
      <c r="H39" s="23">
        <f t="shared" si="10"/>
        <v>408.90235911360071</v>
      </c>
      <c r="I39" s="23">
        <f t="shared" si="11"/>
        <v>3500</v>
      </c>
      <c r="J39" s="23">
        <f>J38+(J38*J$11)</f>
        <v>19.8682292136697</v>
      </c>
      <c r="K39" s="37">
        <f t="shared" si="0"/>
        <v>780.50166948638423</v>
      </c>
      <c r="L39" s="17">
        <f t="shared" si="1"/>
        <v>16.707237457407704</v>
      </c>
      <c r="M39" s="17">
        <f t="shared" si="2"/>
        <v>154.22065345299421</v>
      </c>
      <c r="N39" s="38">
        <f t="shared" si="3"/>
        <v>9.2307692307692317</v>
      </c>
      <c r="O39" s="17"/>
      <c r="P39" s="28">
        <f t="shared" si="4"/>
        <v>763.79443202897653</v>
      </c>
      <c r="Q39" s="28">
        <f>Q38+P39</f>
        <v>16902.426555716836</v>
      </c>
      <c r="R39" s="29">
        <v>27</v>
      </c>
      <c r="U39" s="23">
        <f t="shared" si="5"/>
        <v>780.50166948638423</v>
      </c>
      <c r="V39" s="28">
        <f>V38+U39</f>
        <v>17939.41004743347</v>
      </c>
      <c r="W39" s="29">
        <v>27</v>
      </c>
      <c r="X39" s="28">
        <f t="shared" si="6"/>
        <v>345.60931037278351</v>
      </c>
      <c r="Y39" s="28">
        <f>Y38+X39</f>
        <v>10950.730506047857</v>
      </c>
      <c r="Z39" s="29">
        <v>27</v>
      </c>
    </row>
    <row r="40" spans="1:26" ht="15" x14ac:dyDescent="0.25">
      <c r="A40">
        <v>28</v>
      </c>
      <c r="B40" s="30">
        <f>B39-(1%*B39)</f>
        <v>3889.1067969957339</v>
      </c>
      <c r="C40" s="31">
        <f t="shared" si="7"/>
        <v>0.77782135939914676</v>
      </c>
      <c r="D40" s="25"/>
      <c r="E40" s="25"/>
      <c r="F40" s="26"/>
      <c r="G40" s="26">
        <f t="shared" si="9"/>
        <v>25.99</v>
      </c>
      <c r="H40" s="23">
        <f t="shared" si="10"/>
        <v>429.34747706928073</v>
      </c>
      <c r="I40" s="23">
        <f t="shared" si="11"/>
        <v>3500</v>
      </c>
      <c r="J40" s="23">
        <f>J39+(J39*J$11)</f>
        <v>20.325198485584103</v>
      </c>
      <c r="K40" s="37">
        <f t="shared" si="0"/>
        <v>790.46867580572541</v>
      </c>
      <c r="L40" s="17">
        <f t="shared" si="1"/>
        <v>15.175165082833622</v>
      </c>
      <c r="M40" s="17">
        <f t="shared" si="2"/>
        <v>140.07844691846421</v>
      </c>
      <c r="N40" s="38">
        <f t="shared" si="3"/>
        <v>9.2307692307692317</v>
      </c>
      <c r="O40" s="17"/>
      <c r="P40" s="28">
        <f t="shared" si="4"/>
        <v>775.29351072289182</v>
      </c>
      <c r="Q40" s="28">
        <f>Q39+P40</f>
        <v>17677.720066439728</v>
      </c>
      <c r="R40" s="29">
        <v>28</v>
      </c>
      <c r="U40" s="23">
        <f t="shared" si="5"/>
        <v>790.46867580572541</v>
      </c>
      <c r="V40" s="28">
        <f>V39+U40</f>
        <v>18729.878723239195</v>
      </c>
      <c r="W40" s="29">
        <v>28</v>
      </c>
      <c r="X40" s="28">
        <f t="shared" si="6"/>
        <v>335.13119873644467</v>
      </c>
      <c r="Y40" s="28">
        <f>Y39+X40</f>
        <v>11285.861704784302</v>
      </c>
      <c r="Z40" s="29">
        <v>28</v>
      </c>
    </row>
    <row r="41" spans="1:26" ht="15" x14ac:dyDescent="0.25">
      <c r="A41">
        <v>29</v>
      </c>
      <c r="B41" s="30">
        <f>B40-(1%*B40)</f>
        <v>3850.2157290257765</v>
      </c>
      <c r="C41" s="31">
        <f t="shared" si="7"/>
        <v>0.77004314580515532</v>
      </c>
      <c r="D41" s="25"/>
      <c r="E41" s="25"/>
      <c r="F41" s="26"/>
      <c r="G41" s="26">
        <f t="shared" si="9"/>
        <v>25.99</v>
      </c>
      <c r="H41" s="23">
        <f t="shared" si="10"/>
        <v>450.81485092274477</v>
      </c>
      <c r="I41" s="23">
        <f t="shared" si="11"/>
        <v>3500</v>
      </c>
      <c r="J41" s="23">
        <f>J40+(J40*J$11)</f>
        <v>20.792678050752539</v>
      </c>
      <c r="K41" s="37">
        <f t="shared" si="0"/>
        <v>800.56296079576452</v>
      </c>
      <c r="L41" s="17">
        <f t="shared" si="1"/>
        <v>13.658413432005283</v>
      </c>
      <c r="M41" s="17">
        <f t="shared" si="2"/>
        <v>126.07766244927952</v>
      </c>
      <c r="N41" s="38">
        <f t="shared" si="3"/>
        <v>9.2307692307692299</v>
      </c>
      <c r="O41" s="17"/>
      <c r="P41" s="28">
        <f t="shared" si="4"/>
        <v>786.90454736375921</v>
      </c>
      <c r="Q41" s="28">
        <f>Q40+P41</f>
        <v>18464.624613803488</v>
      </c>
      <c r="R41" s="29">
        <v>29</v>
      </c>
      <c r="U41" s="23">
        <f t="shared" si="5"/>
        <v>800.56296079576452</v>
      </c>
      <c r="V41" s="28">
        <f>V40+U41</f>
        <v>19530.441684034959</v>
      </c>
      <c r="W41" s="29">
        <v>29</v>
      </c>
      <c r="X41" s="28">
        <f t="shared" si="6"/>
        <v>323.75810987301975</v>
      </c>
      <c r="Y41" s="28">
        <f>Y40+X41</f>
        <v>11609.619814657322</v>
      </c>
      <c r="Z41" s="29">
        <v>29</v>
      </c>
    </row>
    <row r="42" spans="1:26" ht="15" x14ac:dyDescent="0.25">
      <c r="A42">
        <v>30</v>
      </c>
      <c r="B42" s="30">
        <f>B41-(1%*B41)</f>
        <v>3811.7135717355186</v>
      </c>
      <c r="C42" s="31">
        <f t="shared" si="7"/>
        <v>0.76234271434710377</v>
      </c>
      <c r="D42" s="25"/>
      <c r="E42" s="25"/>
      <c r="F42" s="26"/>
      <c r="G42" s="26">
        <f t="shared" si="9"/>
        <v>25.99</v>
      </c>
      <c r="H42" s="23">
        <f t="shared" si="10"/>
        <v>473.35559346888203</v>
      </c>
      <c r="I42" s="23">
        <f t="shared" si="11"/>
        <v>3500</v>
      </c>
      <c r="J42" s="23">
        <f>J41+(J41*J$11)</f>
        <v>21.270909645919847</v>
      </c>
      <c r="K42" s="37">
        <f t="shared" si="0"/>
        <v>810.78614980512634</v>
      </c>
      <c r="L42" s="17">
        <f t="shared" si="1"/>
        <v>12.156829297685224</v>
      </c>
      <c r="M42" s="17">
        <f t="shared" si="2"/>
        <v>112.21688582478669</v>
      </c>
      <c r="N42" s="38">
        <f t="shared" si="3"/>
        <v>9.2307692307692317</v>
      </c>
      <c r="O42" s="17"/>
      <c r="P42" s="28">
        <f t="shared" si="4"/>
        <v>798.62932050744109</v>
      </c>
      <c r="Q42" s="28">
        <f>Q41+P42</f>
        <v>19263.253934310927</v>
      </c>
      <c r="R42" s="29">
        <v>30</v>
      </c>
      <c r="U42" s="23">
        <f t="shared" si="5"/>
        <v>810.78614980512634</v>
      </c>
      <c r="V42" s="28">
        <f>V41+U42</f>
        <v>20341.227833840087</v>
      </c>
      <c r="W42" s="29">
        <v>30</v>
      </c>
      <c r="X42" s="28">
        <f t="shared" si="6"/>
        <v>311.4405563362443</v>
      </c>
      <c r="Y42" s="28">
        <f>Y41+X42</f>
        <v>11921.060370993568</v>
      </c>
      <c r="Z42" s="29">
        <v>30</v>
      </c>
    </row>
    <row r="43" spans="1:26" x14ac:dyDescent="0.2">
      <c r="B43" s="30"/>
      <c r="C43" s="31"/>
      <c r="D43" s="25"/>
      <c r="E43" s="25"/>
      <c r="F43" s="25"/>
      <c r="G43" s="25"/>
      <c r="H43" s="32"/>
      <c r="I43" s="23"/>
      <c r="J43" s="23"/>
      <c r="K43" s="23"/>
      <c r="L43" s="23"/>
      <c r="M43" s="23"/>
      <c r="N43" s="23"/>
      <c r="O43" s="23"/>
      <c r="P43" s="28"/>
      <c r="R43" s="29"/>
    </row>
    <row r="44" spans="1:26" x14ac:dyDescent="0.2">
      <c r="B44" s="30"/>
      <c r="C44" s="31"/>
      <c r="D44" s="25"/>
      <c r="E44" s="25"/>
      <c r="F44" s="25"/>
      <c r="G44" s="25"/>
      <c r="H44" s="32"/>
      <c r="I44" s="23"/>
      <c r="J44" s="23"/>
      <c r="K44" s="23"/>
      <c r="L44" s="23"/>
      <c r="M44" s="23"/>
      <c r="N44" s="23"/>
      <c r="O44" s="23"/>
      <c r="P44" s="28"/>
      <c r="R44" s="29"/>
    </row>
    <row r="45" spans="1:26" x14ac:dyDescent="0.2">
      <c r="B45" s="30"/>
      <c r="C45" s="31"/>
      <c r="D45" s="25"/>
      <c r="E45" s="25"/>
      <c r="F45" s="25"/>
      <c r="G45" s="25"/>
      <c r="H45" s="32"/>
      <c r="I45" s="23"/>
      <c r="J45" s="23"/>
      <c r="K45" s="23"/>
      <c r="L45" s="23"/>
      <c r="M45" s="23"/>
      <c r="N45" s="23"/>
      <c r="O45" s="23"/>
      <c r="P45" s="28"/>
      <c r="R45" s="29"/>
    </row>
    <row r="46" spans="1:26" x14ac:dyDescent="0.2">
      <c r="B46" s="30"/>
      <c r="C46" s="31"/>
      <c r="D46" s="25"/>
      <c r="E46" s="25"/>
      <c r="F46" s="25"/>
      <c r="G46" s="25"/>
      <c r="H46" s="32"/>
      <c r="I46" s="23"/>
      <c r="J46" s="23"/>
      <c r="K46" s="23"/>
      <c r="L46" s="23"/>
      <c r="M46" s="23"/>
      <c r="N46" s="23"/>
      <c r="O46" s="23"/>
      <c r="P46" s="28"/>
      <c r="R46" s="29"/>
    </row>
    <row r="47" spans="1:26" x14ac:dyDescent="0.2">
      <c r="B47" s="30"/>
      <c r="C47" s="31"/>
      <c r="D47" s="25"/>
      <c r="E47" s="25"/>
      <c r="F47" s="25"/>
      <c r="G47" s="25"/>
      <c r="H47" s="32"/>
      <c r="I47" s="23"/>
      <c r="J47" s="23"/>
      <c r="K47" s="23"/>
      <c r="L47" s="23"/>
      <c r="M47" s="23"/>
      <c r="N47" s="23"/>
      <c r="O47" s="23"/>
      <c r="P47" s="28"/>
      <c r="R47" s="29"/>
    </row>
    <row r="48" spans="1:26" x14ac:dyDescent="0.2">
      <c r="B48" s="30"/>
      <c r="C48" s="31"/>
      <c r="H48" s="32"/>
      <c r="I48" s="23"/>
      <c r="J48" s="23"/>
      <c r="K48" s="23"/>
      <c r="L48" s="23"/>
      <c r="M48" s="23"/>
      <c r="N48" s="23"/>
      <c r="O48" s="23"/>
      <c r="P48" s="28"/>
    </row>
    <row r="49" spans="2:16" x14ac:dyDescent="0.2">
      <c r="B49" s="30"/>
      <c r="C49" s="31"/>
      <c r="H49" s="32"/>
      <c r="I49" s="23"/>
      <c r="J49" s="23"/>
      <c r="K49" s="23"/>
      <c r="L49" s="23"/>
      <c r="M49" s="23"/>
      <c r="N49" s="23"/>
      <c r="O49" s="23"/>
      <c r="P49" s="28"/>
    </row>
    <row r="50" spans="2:16" x14ac:dyDescent="0.2">
      <c r="B50" s="30"/>
      <c r="C50" s="31"/>
      <c r="H50" s="32"/>
      <c r="I50" s="23"/>
      <c r="J50" s="23"/>
      <c r="K50" s="23"/>
      <c r="L50" s="23"/>
      <c r="M50" s="23"/>
      <c r="N50" s="23"/>
      <c r="O50" s="23"/>
      <c r="P50" s="28"/>
    </row>
  </sheetData>
  <conditionalFormatting sqref="Q13:Q42">
    <cfRule type="cellIs" dxfId="17" priority="5" stopIfTrue="1" operator="greaterThan">
      <formula>$C$4</formula>
    </cfRule>
    <cfRule type="cellIs" dxfId="16" priority="6" stopIfTrue="1" operator="lessThan">
      <formula>$C$4</formula>
    </cfRule>
  </conditionalFormatting>
  <conditionalFormatting sqref="V13:V42">
    <cfRule type="cellIs" dxfId="15" priority="3" stopIfTrue="1" operator="greaterThan">
      <formula>$C$4</formula>
    </cfRule>
    <cfRule type="cellIs" dxfId="14" priority="4" stopIfTrue="1" operator="lessThan">
      <formula>$C$4</formula>
    </cfRule>
  </conditionalFormatting>
  <conditionalFormatting sqref="Y13:Y42">
    <cfRule type="cellIs" dxfId="13" priority="1" stopIfTrue="1" operator="greaterThan">
      <formula>$C$4</formula>
    </cfRule>
    <cfRule type="cellIs" dxfId="12" priority="2" stopIfTrue="1" operator="lessThan">
      <formula>$C$4</formula>
    </cfRule>
  </conditionalFormatting>
  <pageMargins left="0.75" right="0.75" top="1" bottom="1" header="0.51180555555555551" footer="0.51180555555555551"/>
  <pageSetup paperSize="9" scale="72" firstPageNumber="0"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2" sqref="B2:B9"/>
    </sheetView>
  </sheetViews>
  <sheetFormatPr defaultRowHeight="12.75" x14ac:dyDescent="0.2"/>
  <sheetData>
    <row r="1" spans="1:3" x14ac:dyDescent="0.2">
      <c r="A1" t="s">
        <v>36</v>
      </c>
    </row>
    <row r="2" spans="1:3" x14ac:dyDescent="0.2">
      <c r="A2">
        <v>23.94</v>
      </c>
      <c r="B2">
        <v>264.63</v>
      </c>
      <c r="C2">
        <v>124.95</v>
      </c>
    </row>
    <row r="3" spans="1:3" x14ac:dyDescent="0.2">
      <c r="A3">
        <v>5.94</v>
      </c>
      <c r="B3">
        <v>20.79</v>
      </c>
      <c r="C3">
        <v>100.59</v>
      </c>
    </row>
    <row r="4" spans="1:3" x14ac:dyDescent="0.2">
      <c r="A4">
        <v>5.94</v>
      </c>
      <c r="B4">
        <v>14.91</v>
      </c>
      <c r="C4">
        <v>37.17</v>
      </c>
    </row>
    <row r="5" spans="1:3" x14ac:dyDescent="0.2">
      <c r="A5">
        <v>11.88</v>
      </c>
      <c r="B5">
        <v>21.21</v>
      </c>
      <c r="C5">
        <v>19.95</v>
      </c>
    </row>
    <row r="6" spans="1:3" x14ac:dyDescent="0.2">
      <c r="A6">
        <v>2.04</v>
      </c>
      <c r="B6">
        <v>84.21</v>
      </c>
      <c r="C6">
        <v>8.19</v>
      </c>
    </row>
    <row r="7" spans="1:3" x14ac:dyDescent="0.2">
      <c r="A7">
        <v>14.01</v>
      </c>
      <c r="B7">
        <v>69.510000000000005</v>
      </c>
      <c r="C7">
        <v>24.99</v>
      </c>
    </row>
    <row r="8" spans="1:3" x14ac:dyDescent="0.2">
      <c r="A8">
        <v>10.02</v>
      </c>
      <c r="B8">
        <v>108.57</v>
      </c>
      <c r="C8">
        <v>30.87</v>
      </c>
    </row>
    <row r="9" spans="1:3" x14ac:dyDescent="0.2">
      <c r="A9">
        <v>6.03</v>
      </c>
      <c r="B9">
        <v>227.85</v>
      </c>
      <c r="C9">
        <v>52.92</v>
      </c>
    </row>
    <row r="10" spans="1:3" x14ac:dyDescent="0.2">
      <c r="A10">
        <v>766</v>
      </c>
      <c r="C10">
        <v>3.99</v>
      </c>
    </row>
    <row r="11" spans="1:3" x14ac:dyDescent="0.2">
      <c r="A11">
        <v>145.16999999999999</v>
      </c>
      <c r="C11">
        <v>196.98</v>
      </c>
    </row>
    <row r="12" spans="1:3" x14ac:dyDescent="0.2">
      <c r="C12">
        <v>3.99</v>
      </c>
    </row>
    <row r="13" spans="1:3" x14ac:dyDescent="0.2">
      <c r="C13">
        <v>404.46</v>
      </c>
    </row>
    <row r="14" spans="1:3" x14ac:dyDescent="0.2">
      <c r="C14">
        <v>3.99</v>
      </c>
    </row>
    <row r="15" spans="1:3" x14ac:dyDescent="0.2">
      <c r="C15">
        <v>294</v>
      </c>
    </row>
    <row r="16" spans="1:3" x14ac:dyDescent="0.2">
      <c r="C16">
        <v>3.99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8510-EACE-457F-86A1-667B34CA50FF}">
  <sheetPr>
    <pageSetUpPr fitToPage="1"/>
  </sheetPr>
  <dimension ref="A1:W51"/>
  <sheetViews>
    <sheetView showGridLines="0" zoomScale="70" zoomScaleNormal="70" workbookViewId="0"/>
  </sheetViews>
  <sheetFormatPr defaultColWidth="11" defaultRowHeight="12.75" x14ac:dyDescent="0.2"/>
  <cols>
    <col min="1" max="1" width="7.625" customWidth="1"/>
    <col min="2" max="2" width="19.625" customWidth="1"/>
    <col min="3" max="10" width="11" customWidth="1"/>
    <col min="11" max="15" width="11.75" customWidth="1"/>
    <col min="16" max="16" width="12.375" style="1" customWidth="1"/>
    <col min="17" max="17" width="13.75" customWidth="1"/>
    <col min="18" max="18" width="6.375" customWidth="1"/>
  </cols>
  <sheetData>
    <row r="1" spans="1:23" ht="18" x14ac:dyDescent="0.25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</row>
    <row r="2" spans="1:23" ht="15" x14ac:dyDescent="0.25">
      <c r="A2" t="s">
        <v>38</v>
      </c>
      <c r="B2" s="39"/>
      <c r="C2" s="41">
        <v>6700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  <c r="Q2" s="39"/>
      <c r="R2" s="39"/>
    </row>
    <row r="3" spans="1:23" ht="15" x14ac:dyDescent="0.25">
      <c r="A3" t="s">
        <v>39</v>
      </c>
      <c r="C3" s="41">
        <v>10320</v>
      </c>
      <c r="D3">
        <f>C3-C4</f>
        <v>7100</v>
      </c>
      <c r="H3" s="5"/>
    </row>
    <row r="4" spans="1:23" ht="15" x14ac:dyDescent="0.25">
      <c r="A4" t="s">
        <v>40</v>
      </c>
      <c r="B4" s="6"/>
      <c r="C4" s="41">
        <f>10*322</f>
        <v>3220</v>
      </c>
      <c r="E4" s="8" t="s">
        <v>2</v>
      </c>
      <c r="F4" s="8"/>
      <c r="G4" s="9"/>
      <c r="H4" s="10"/>
      <c r="I4" s="10"/>
      <c r="J4" s="9"/>
      <c r="K4" s="9"/>
      <c r="L4" s="9"/>
      <c r="M4" s="9"/>
      <c r="N4" s="9"/>
      <c r="O4" s="9"/>
    </row>
    <row r="5" spans="1:23" x14ac:dyDescent="0.2">
      <c r="B5" s="11" t="s">
        <v>41</v>
      </c>
      <c r="C5">
        <f>C2+C3-C4</f>
        <v>13800</v>
      </c>
      <c r="D5" s="12"/>
      <c r="E5" s="13" t="s">
        <v>4</v>
      </c>
      <c r="F5" s="13"/>
      <c r="G5" s="14"/>
      <c r="H5" s="14"/>
      <c r="I5" s="14"/>
      <c r="J5" s="14"/>
      <c r="K5" s="14"/>
      <c r="L5" s="14"/>
      <c r="M5" s="14"/>
      <c r="N5" s="14"/>
      <c r="O5" s="14"/>
      <c r="Q5" s="1"/>
    </row>
    <row r="6" spans="1:23" x14ac:dyDescent="0.2">
      <c r="E6" s="15" t="s">
        <v>5</v>
      </c>
      <c r="F6" s="15"/>
      <c r="H6" s="5"/>
    </row>
    <row r="7" spans="1:23" x14ac:dyDescent="0.2">
      <c r="B7" s="6" t="s">
        <v>6</v>
      </c>
      <c r="C7" s="7">
        <v>10</v>
      </c>
      <c r="E7" s="15" t="s">
        <v>7</v>
      </c>
      <c r="F7" s="15"/>
      <c r="H7" s="5"/>
    </row>
    <row r="8" spans="1:23" x14ac:dyDescent="0.2">
      <c r="B8" s="6" t="s">
        <v>8</v>
      </c>
      <c r="C8">
        <v>1</v>
      </c>
      <c r="E8" s="15" t="s">
        <v>9</v>
      </c>
      <c r="F8" s="15"/>
      <c r="H8" s="5"/>
    </row>
    <row r="9" spans="1:23" x14ac:dyDescent="0.2">
      <c r="B9" s="6" t="s">
        <v>10</v>
      </c>
      <c r="C9" s="8">
        <v>990</v>
      </c>
    </row>
    <row r="10" spans="1:23" x14ac:dyDescent="0.2">
      <c r="B10" s="6" t="s">
        <v>11</v>
      </c>
      <c r="C10" s="8">
        <v>1</v>
      </c>
      <c r="G10" s="16">
        <f>1+G12</f>
        <v>1.03</v>
      </c>
      <c r="T10">
        <v>3333</v>
      </c>
      <c r="U10">
        <f>T10*0.21</f>
        <v>699.93</v>
      </c>
      <c r="V10">
        <f>U10+T10</f>
        <v>4032.93</v>
      </c>
    </row>
    <row r="11" spans="1:23" ht="57.75" customHeight="1" x14ac:dyDescent="0.2">
      <c r="B11" s="6" t="s">
        <v>12</v>
      </c>
      <c r="C11" s="17">
        <f>C7*C8*C9*C10</f>
        <v>9900</v>
      </c>
      <c r="G11" s="18" t="s">
        <v>13</v>
      </c>
      <c r="I11" s="18" t="s">
        <v>14</v>
      </c>
      <c r="J11" s="18" t="s">
        <v>15</v>
      </c>
      <c r="L11" s="18" t="s">
        <v>16</v>
      </c>
      <c r="M11" s="18" t="s">
        <v>17</v>
      </c>
      <c r="P11" s="18" t="s">
        <v>18</v>
      </c>
    </row>
    <row r="12" spans="1:23" x14ac:dyDescent="0.2">
      <c r="B12" s="6"/>
      <c r="G12" s="19">
        <v>0.03</v>
      </c>
      <c r="I12" s="19">
        <v>0.7</v>
      </c>
      <c r="J12" s="19">
        <v>0.02</v>
      </c>
      <c r="L12" s="35">
        <v>3.9</v>
      </c>
      <c r="M12" s="34">
        <v>0.36</v>
      </c>
      <c r="P12" s="12"/>
    </row>
    <row r="13" spans="1:23" s="22" customFormat="1" ht="75" x14ac:dyDescent="0.25">
      <c r="A13" s="18" t="s">
        <v>19</v>
      </c>
      <c r="B13" s="18" t="s">
        <v>20</v>
      </c>
      <c r="C13" s="18" t="s">
        <v>21</v>
      </c>
      <c r="D13" s="33" t="s">
        <v>22</v>
      </c>
      <c r="E13" s="33" t="s">
        <v>23</v>
      </c>
      <c r="F13" s="33" t="s">
        <v>24</v>
      </c>
      <c r="G13" s="33" t="s">
        <v>25</v>
      </c>
      <c r="H13" s="33" t="s">
        <v>26</v>
      </c>
      <c r="I13" s="18" t="s">
        <v>27</v>
      </c>
      <c r="J13" s="18" t="s">
        <v>28</v>
      </c>
      <c r="K13" s="36" t="s">
        <v>29</v>
      </c>
      <c r="L13" s="20" t="s">
        <v>30</v>
      </c>
      <c r="M13" s="20" t="s">
        <v>31</v>
      </c>
      <c r="N13" s="20"/>
      <c r="O13" s="20"/>
      <c r="P13" s="20" t="s">
        <v>32</v>
      </c>
      <c r="Q13" s="20" t="s">
        <v>33</v>
      </c>
      <c r="R13" s="21" t="s">
        <v>19</v>
      </c>
      <c r="V13" s="20" t="s">
        <v>33</v>
      </c>
      <c r="W13" s="21" t="s">
        <v>19</v>
      </c>
    </row>
    <row r="14" spans="1:23" ht="15" x14ac:dyDescent="0.25">
      <c r="A14">
        <v>1</v>
      </c>
      <c r="B14" s="23">
        <f>C11</f>
        <v>9900</v>
      </c>
      <c r="C14" s="24">
        <v>1</v>
      </c>
      <c r="D14" s="25">
        <v>14.9</v>
      </c>
      <c r="E14" s="25">
        <v>12.57</v>
      </c>
      <c r="F14" s="26">
        <f>G10</f>
        <v>1.03</v>
      </c>
      <c r="G14" s="25">
        <f>IF(C$7&lt;=4,D14,E14)</f>
        <v>12.57</v>
      </c>
      <c r="H14" s="12">
        <f>B14*G14/100</f>
        <v>1244.43</v>
      </c>
      <c r="I14" s="23">
        <f>B14*I$12</f>
        <v>6930</v>
      </c>
      <c r="J14" s="27">
        <v>13</v>
      </c>
      <c r="K14" s="37">
        <f>(B14-M14)*J14/100</f>
        <v>1148.0039999999999</v>
      </c>
      <c r="L14" s="17">
        <f>(B14-I14)*$L$12/100</f>
        <v>115.83</v>
      </c>
      <c r="M14" s="17">
        <f>(B14-I14)*$M$12</f>
        <v>1069.2</v>
      </c>
      <c r="N14" s="17"/>
      <c r="O14" s="17"/>
      <c r="P14" s="28">
        <f>K14</f>
        <v>1148.0039999999999</v>
      </c>
      <c r="Q14" s="28">
        <f>P14</f>
        <v>1148.0039999999999</v>
      </c>
      <c r="R14" s="29">
        <v>1</v>
      </c>
      <c r="U14" s="23">
        <f>1500-L14+150</f>
        <v>1534.17</v>
      </c>
      <c r="V14" s="28">
        <f>U14</f>
        <v>1534.17</v>
      </c>
      <c r="W14" s="29">
        <v>1</v>
      </c>
    </row>
    <row r="15" spans="1:23" ht="15" x14ac:dyDescent="0.25">
      <c r="A15">
        <v>2</v>
      </c>
      <c r="B15" s="30">
        <f>B14</f>
        <v>9900</v>
      </c>
      <c r="C15" s="31">
        <f>B15/B$14</f>
        <v>1</v>
      </c>
      <c r="D15" s="25">
        <v>14.9</v>
      </c>
      <c r="E15" s="25">
        <v>12.57</v>
      </c>
      <c r="F15" s="26">
        <f>F14*$G$10</f>
        <v>1.0609</v>
      </c>
      <c r="G15" s="25">
        <f>IF(C$7&lt;=4,D15*F15,E15*F15)</f>
        <v>13.335512999999999</v>
      </c>
      <c r="H15" s="12">
        <f t="shared" ref="H15:H38" si="0">B15*G15/100</f>
        <v>1320.2157869999999</v>
      </c>
      <c r="I15" s="23">
        <f>I14</f>
        <v>6930</v>
      </c>
      <c r="J15" s="23">
        <f>J14+(J14*J$12)</f>
        <v>13.26</v>
      </c>
      <c r="K15" s="37">
        <f t="shared" ref="K15:K43" si="1">(B15-M15)*J15/100</f>
        <v>1170.9640799999997</v>
      </c>
      <c r="L15" s="17">
        <f t="shared" ref="L15:L43" si="2">(B15-I15)*$L$12/100</f>
        <v>115.83</v>
      </c>
      <c r="M15" s="17">
        <f t="shared" ref="M15:M43" si="3">(B15-I15)*$M$12</f>
        <v>1069.2</v>
      </c>
      <c r="N15" s="17"/>
      <c r="O15" s="17"/>
      <c r="P15" s="28">
        <f t="shared" ref="P15:P43" si="4">K15</f>
        <v>1170.9640799999997</v>
      </c>
      <c r="Q15" s="28">
        <f>Q14+P15</f>
        <v>2318.9680799999996</v>
      </c>
      <c r="R15" s="29">
        <v>2</v>
      </c>
      <c r="U15" s="23">
        <f>U14+(U14*$J$12)</f>
        <v>1564.8534</v>
      </c>
      <c r="V15" s="28">
        <f>V14+U15</f>
        <v>3099.0234</v>
      </c>
      <c r="W15" s="29">
        <v>2</v>
      </c>
    </row>
    <row r="16" spans="1:23" ht="15" x14ac:dyDescent="0.25">
      <c r="A16">
        <v>3</v>
      </c>
      <c r="B16" s="30">
        <f>B15</f>
        <v>9900</v>
      </c>
      <c r="C16" s="31">
        <f t="shared" ref="C16:C43" si="5">B16/B$14</f>
        <v>1</v>
      </c>
      <c r="D16" s="25">
        <v>14.9</v>
      </c>
      <c r="E16" s="25">
        <v>12.57</v>
      </c>
      <c r="F16" s="26">
        <f t="shared" ref="F16:F33" si="6">F15*$G$10</f>
        <v>1.092727</v>
      </c>
      <c r="G16" s="25">
        <f>IF(C$7&lt;=4,D16*F16,E16*F16)</f>
        <v>13.735578390000001</v>
      </c>
      <c r="H16" s="12">
        <f t="shared" si="0"/>
        <v>1359.8222606099998</v>
      </c>
      <c r="I16" s="23">
        <f t="shared" ref="I16:I43" si="7">I15</f>
        <v>6930</v>
      </c>
      <c r="J16" s="23">
        <f t="shared" ref="J16:J38" si="8">J15+(J15*J$12)</f>
        <v>13.5252</v>
      </c>
      <c r="K16" s="37">
        <f t="shared" si="1"/>
        <v>1194.3833615999999</v>
      </c>
      <c r="L16" s="17">
        <f t="shared" si="2"/>
        <v>115.83</v>
      </c>
      <c r="M16" s="17">
        <f t="shared" si="3"/>
        <v>1069.2</v>
      </c>
      <c r="N16" s="17"/>
      <c r="O16" s="17"/>
      <c r="P16" s="28">
        <f t="shared" si="4"/>
        <v>1194.3833615999999</v>
      </c>
      <c r="Q16" s="28">
        <f t="shared" ref="Q16:Q38" si="9">Q15+P16</f>
        <v>3513.3514415999998</v>
      </c>
      <c r="R16" s="29">
        <v>3</v>
      </c>
      <c r="U16" s="23">
        <f t="shared" ref="U16:U43" si="10">U15+(U15*$J$12)</f>
        <v>1596.150468</v>
      </c>
      <c r="V16" s="28">
        <f t="shared" ref="V16:V38" si="11">V15+U16</f>
        <v>4695.1738679999999</v>
      </c>
      <c r="W16" s="29">
        <v>3</v>
      </c>
    </row>
    <row r="17" spans="1:23" ht="15" x14ac:dyDescent="0.25">
      <c r="A17">
        <v>4</v>
      </c>
      <c r="B17" s="30">
        <f t="shared" ref="B17:B38" si="12">B16-(1%*B16)</f>
        <v>9801</v>
      </c>
      <c r="C17" s="31">
        <f t="shared" si="5"/>
        <v>0.99</v>
      </c>
      <c r="D17" s="25">
        <v>14.9</v>
      </c>
      <c r="E17" s="25">
        <v>12.57</v>
      </c>
      <c r="F17" s="26">
        <f t="shared" si="6"/>
        <v>1.1255088100000001</v>
      </c>
      <c r="G17" s="25">
        <f t="shared" ref="G17:G33" si="13">IF(C$7&lt;=4,D17*F17,E17*F17)</f>
        <v>14.147645741700002</v>
      </c>
      <c r="H17" s="12">
        <f t="shared" si="0"/>
        <v>1386.610759144017</v>
      </c>
      <c r="I17" s="23">
        <f t="shared" si="7"/>
        <v>6930</v>
      </c>
      <c r="J17" s="23">
        <f t="shared" si="8"/>
        <v>13.795704000000001</v>
      </c>
      <c r="K17" s="37">
        <f t="shared" si="1"/>
        <v>1209.5300707776003</v>
      </c>
      <c r="L17" s="17">
        <f t="shared" si="2"/>
        <v>111.96899999999999</v>
      </c>
      <c r="M17" s="17">
        <f t="shared" si="3"/>
        <v>1033.56</v>
      </c>
      <c r="N17" s="17"/>
      <c r="O17" s="17"/>
      <c r="P17" s="28">
        <f t="shared" si="4"/>
        <v>1209.5300707776003</v>
      </c>
      <c r="Q17" s="28">
        <f t="shared" si="9"/>
        <v>4722.8815123776003</v>
      </c>
      <c r="R17" s="29">
        <v>4</v>
      </c>
      <c r="U17" s="23">
        <f t="shared" si="10"/>
        <v>1628.07347736</v>
      </c>
      <c r="V17" s="28">
        <f t="shared" si="11"/>
        <v>6323.2473453599996</v>
      </c>
      <c r="W17" s="29">
        <v>4</v>
      </c>
    </row>
    <row r="18" spans="1:23" ht="15" x14ac:dyDescent="0.25">
      <c r="A18">
        <v>5</v>
      </c>
      <c r="B18" s="30">
        <f t="shared" si="12"/>
        <v>9702.99</v>
      </c>
      <c r="C18" s="31">
        <f t="shared" si="5"/>
        <v>0.98009999999999997</v>
      </c>
      <c r="D18" s="25">
        <v>14.9</v>
      </c>
      <c r="E18" s="25">
        <v>12.57</v>
      </c>
      <c r="F18" s="26">
        <f t="shared" si="6"/>
        <v>1.1592740743000001</v>
      </c>
      <c r="G18" s="25">
        <f t="shared" si="13"/>
        <v>14.572075113951001</v>
      </c>
      <c r="H18" s="12">
        <f t="shared" si="0"/>
        <v>1413.9269910991541</v>
      </c>
      <c r="I18" s="23">
        <f t="shared" si="7"/>
        <v>6930</v>
      </c>
      <c r="J18" s="23">
        <f t="shared" si="8"/>
        <v>14.07161808</v>
      </c>
      <c r="K18" s="37">
        <f t="shared" si="1"/>
        <v>1224.8940527498189</v>
      </c>
      <c r="L18" s="17">
        <f t="shared" si="2"/>
        <v>108.14660999999998</v>
      </c>
      <c r="M18" s="17">
        <f t="shared" si="3"/>
        <v>998.27639999999985</v>
      </c>
      <c r="N18" s="17"/>
      <c r="O18" s="17"/>
      <c r="P18" s="28">
        <f t="shared" si="4"/>
        <v>1224.8940527498189</v>
      </c>
      <c r="Q18" s="28">
        <f t="shared" si="9"/>
        <v>5947.7755651274192</v>
      </c>
      <c r="R18" s="29">
        <v>5</v>
      </c>
      <c r="U18" s="23">
        <f t="shared" si="10"/>
        <v>1660.6349469071999</v>
      </c>
      <c r="V18" s="28">
        <f t="shared" si="11"/>
        <v>7983.8822922671998</v>
      </c>
      <c r="W18" s="29">
        <v>5</v>
      </c>
    </row>
    <row r="19" spans="1:23" ht="15" x14ac:dyDescent="0.25">
      <c r="A19">
        <v>6</v>
      </c>
      <c r="B19" s="30">
        <f t="shared" si="12"/>
        <v>9605.9601000000002</v>
      </c>
      <c r="C19" s="31">
        <f t="shared" si="5"/>
        <v>0.97029900000000002</v>
      </c>
      <c r="D19" s="25">
        <v>14.9</v>
      </c>
      <c r="E19" s="25">
        <v>12.57</v>
      </c>
      <c r="F19" s="26">
        <f t="shared" si="6"/>
        <v>1.1940522965290001</v>
      </c>
      <c r="G19" s="25">
        <f t="shared" si="13"/>
        <v>15.009237367369533</v>
      </c>
      <c r="H19" s="12">
        <f t="shared" si="0"/>
        <v>1441.7813528238078</v>
      </c>
      <c r="I19" s="23">
        <f t="shared" si="7"/>
        <v>6930</v>
      </c>
      <c r="J19" s="23">
        <f t="shared" si="8"/>
        <v>14.353050441600001</v>
      </c>
      <c r="K19" s="37">
        <f t="shared" si="1"/>
        <v>1240.4788134909377</v>
      </c>
      <c r="L19" s="17">
        <f t="shared" si="2"/>
        <v>104.3624439</v>
      </c>
      <c r="M19" s="17">
        <f t="shared" si="3"/>
        <v>963.34563600000001</v>
      </c>
      <c r="N19" s="17"/>
      <c r="O19" s="17"/>
      <c r="P19" s="28">
        <f t="shared" si="4"/>
        <v>1240.4788134909377</v>
      </c>
      <c r="Q19" s="28">
        <f t="shared" si="9"/>
        <v>7188.2543786183569</v>
      </c>
      <c r="R19" s="29">
        <v>6</v>
      </c>
      <c r="U19" s="23">
        <f t="shared" si="10"/>
        <v>1693.847645845344</v>
      </c>
      <c r="V19" s="28">
        <f t="shared" si="11"/>
        <v>9677.7299381125431</v>
      </c>
      <c r="W19" s="29">
        <v>6</v>
      </c>
    </row>
    <row r="20" spans="1:23" ht="15" x14ac:dyDescent="0.25">
      <c r="A20">
        <v>7</v>
      </c>
      <c r="B20" s="30">
        <f t="shared" si="12"/>
        <v>9509.9004989999994</v>
      </c>
      <c r="C20" s="31">
        <f t="shared" si="5"/>
        <v>0.96059600999999994</v>
      </c>
      <c r="D20" s="25">
        <v>14.9</v>
      </c>
      <c r="E20" s="25">
        <v>12.57</v>
      </c>
      <c r="F20" s="26">
        <f t="shared" si="6"/>
        <v>1.2298738654248702</v>
      </c>
      <c r="G20" s="25">
        <f t="shared" si="13"/>
        <v>15.459514488390619</v>
      </c>
      <c r="H20" s="12">
        <f t="shared" si="0"/>
        <v>1470.1844454744369</v>
      </c>
      <c r="I20" s="23">
        <f t="shared" si="7"/>
        <v>6930</v>
      </c>
      <c r="J20" s="23">
        <f t="shared" si="8"/>
        <v>14.640111450432</v>
      </c>
      <c r="K20" s="37">
        <f t="shared" si="1"/>
        <v>1256.2879208678023</v>
      </c>
      <c r="L20" s="17">
        <f t="shared" si="2"/>
        <v>100.61611946099998</v>
      </c>
      <c r="M20" s="17">
        <f t="shared" si="3"/>
        <v>928.76417963999972</v>
      </c>
      <c r="N20" s="17"/>
      <c r="O20" s="17"/>
      <c r="P20" s="28">
        <f t="shared" si="4"/>
        <v>1256.2879208678023</v>
      </c>
      <c r="Q20" s="28">
        <f t="shared" si="9"/>
        <v>8444.5422994861583</v>
      </c>
      <c r="R20" s="29">
        <v>7</v>
      </c>
      <c r="U20" s="23">
        <f t="shared" si="10"/>
        <v>1727.7245987622509</v>
      </c>
      <c r="V20" s="28">
        <f t="shared" si="11"/>
        <v>11405.454536874793</v>
      </c>
      <c r="W20" s="29">
        <v>7</v>
      </c>
    </row>
    <row r="21" spans="1:23" ht="15" x14ac:dyDescent="0.25">
      <c r="A21">
        <v>8</v>
      </c>
      <c r="B21" s="30">
        <f t="shared" si="12"/>
        <v>9414.8014940100002</v>
      </c>
      <c r="C21" s="31">
        <f t="shared" si="5"/>
        <v>0.95099004990000002</v>
      </c>
      <c r="D21" s="25">
        <v>14.9</v>
      </c>
      <c r="E21" s="25">
        <v>12.57</v>
      </c>
      <c r="F21" s="26">
        <f t="shared" si="6"/>
        <v>1.2667700813876164</v>
      </c>
      <c r="G21" s="25">
        <f t="shared" si="13"/>
        <v>15.923299923042338</v>
      </c>
      <c r="H21" s="12">
        <f t="shared" si="0"/>
        <v>1499.1470790502833</v>
      </c>
      <c r="I21" s="23">
        <f t="shared" si="7"/>
        <v>6930</v>
      </c>
      <c r="J21" s="23">
        <f t="shared" si="8"/>
        <v>14.93291367944064</v>
      </c>
      <c r="K21" s="37">
        <f t="shared" si="1"/>
        <v>1272.3250057970538</v>
      </c>
      <c r="L21" s="17">
        <f t="shared" si="2"/>
        <v>96.907258266390002</v>
      </c>
      <c r="M21" s="17">
        <f t="shared" si="3"/>
        <v>894.52853784360002</v>
      </c>
      <c r="N21" s="17"/>
      <c r="O21" s="17"/>
      <c r="P21" s="28">
        <f t="shared" si="4"/>
        <v>1272.3250057970538</v>
      </c>
      <c r="Q21" s="28">
        <f t="shared" si="9"/>
        <v>9716.8673052832128</v>
      </c>
      <c r="R21" s="29">
        <v>8</v>
      </c>
      <c r="U21" s="23">
        <f t="shared" si="10"/>
        <v>1762.2790907374961</v>
      </c>
      <c r="V21" s="28">
        <f t="shared" si="11"/>
        <v>13167.73362761229</v>
      </c>
      <c r="W21" s="29">
        <v>8</v>
      </c>
    </row>
    <row r="22" spans="1:23" ht="15" x14ac:dyDescent="0.25">
      <c r="A22">
        <v>9</v>
      </c>
      <c r="B22" s="30">
        <f t="shared" si="12"/>
        <v>9320.6534790699006</v>
      </c>
      <c r="C22" s="31">
        <f t="shared" si="5"/>
        <v>0.94148014940100011</v>
      </c>
      <c r="D22" s="25">
        <v>14.9</v>
      </c>
      <c r="E22" s="25">
        <v>12.57</v>
      </c>
      <c r="F22" s="26">
        <f t="shared" si="6"/>
        <v>1.3047731838292449</v>
      </c>
      <c r="G22" s="25">
        <f t="shared" si="13"/>
        <v>16.40099892073361</v>
      </c>
      <c r="H22" s="12">
        <f t="shared" si="0"/>
        <v>1528.680276507574</v>
      </c>
      <c r="I22" s="23">
        <f t="shared" si="7"/>
        <v>6930</v>
      </c>
      <c r="J22" s="23">
        <f t="shared" si="8"/>
        <v>15.231571953029453</v>
      </c>
      <c r="K22" s="37">
        <f t="shared" si="1"/>
        <v>1288.5937634247066</v>
      </c>
      <c r="L22" s="17">
        <f t="shared" si="2"/>
        <v>93.235485683726125</v>
      </c>
      <c r="M22" s="17">
        <f t="shared" si="3"/>
        <v>860.63525246516417</v>
      </c>
      <c r="N22" s="17"/>
      <c r="O22" s="17"/>
      <c r="P22" s="28">
        <f t="shared" si="4"/>
        <v>1288.5937634247066</v>
      </c>
      <c r="Q22" s="28">
        <f t="shared" si="9"/>
        <v>11005.461068707918</v>
      </c>
      <c r="R22" s="29">
        <v>9</v>
      </c>
      <c r="U22" s="23">
        <f t="shared" si="10"/>
        <v>1797.5246725522459</v>
      </c>
      <c r="V22" s="28">
        <f t="shared" si="11"/>
        <v>14965.258300164536</v>
      </c>
      <c r="W22" s="29">
        <v>9</v>
      </c>
    </row>
    <row r="23" spans="1:23" ht="15" x14ac:dyDescent="0.25">
      <c r="A23">
        <v>10</v>
      </c>
      <c r="B23" s="30">
        <f t="shared" si="12"/>
        <v>9227.4469442792015</v>
      </c>
      <c r="C23" s="31">
        <f t="shared" si="5"/>
        <v>0.93206534790699003</v>
      </c>
      <c r="D23" s="25">
        <v>14.9</v>
      </c>
      <c r="E23" s="25">
        <v>12.57</v>
      </c>
      <c r="F23" s="26">
        <f t="shared" si="6"/>
        <v>1.3439163793441222</v>
      </c>
      <c r="G23" s="25">
        <f t="shared" si="13"/>
        <v>16.893028888355616</v>
      </c>
      <c r="H23" s="12">
        <f t="shared" si="0"/>
        <v>1558.7952779547732</v>
      </c>
      <c r="I23" s="23">
        <f t="shared" si="7"/>
        <v>6930</v>
      </c>
      <c r="J23" s="23">
        <f t="shared" si="8"/>
        <v>15.536203392090043</v>
      </c>
      <c r="K23" s="37">
        <f t="shared" si="1"/>
        <v>1305.0979543285275</v>
      </c>
      <c r="L23" s="17">
        <f t="shared" si="2"/>
        <v>89.600430826888854</v>
      </c>
      <c r="M23" s="17">
        <f t="shared" si="3"/>
        <v>827.0808999405125</v>
      </c>
      <c r="N23" s="17"/>
      <c r="O23" s="17"/>
      <c r="P23" s="28">
        <f t="shared" si="4"/>
        <v>1305.0979543285275</v>
      </c>
      <c r="Q23" s="28">
        <f t="shared" si="9"/>
        <v>12310.559023036447</v>
      </c>
      <c r="R23" s="29">
        <v>10</v>
      </c>
      <c r="U23" s="23">
        <f t="shared" si="10"/>
        <v>1833.4751660032907</v>
      </c>
      <c r="V23" s="28">
        <f t="shared" si="11"/>
        <v>16798.733466167825</v>
      </c>
      <c r="W23" s="29">
        <v>10</v>
      </c>
    </row>
    <row r="24" spans="1:23" ht="15" x14ac:dyDescent="0.25">
      <c r="A24">
        <v>11</v>
      </c>
      <c r="B24" s="30">
        <f t="shared" si="12"/>
        <v>9135.1724748364086</v>
      </c>
      <c r="C24" s="31">
        <f t="shared" si="5"/>
        <v>0.92274469442792006</v>
      </c>
      <c r="D24" s="25">
        <v>14.9</v>
      </c>
      <c r="E24" s="25">
        <v>12.57</v>
      </c>
      <c r="F24" s="26">
        <f t="shared" si="6"/>
        <v>1.3842338707244459</v>
      </c>
      <c r="G24" s="25">
        <f t="shared" si="13"/>
        <v>17.399819755006284</v>
      </c>
      <c r="H24" s="12">
        <f t="shared" si="0"/>
        <v>1589.5035449304819</v>
      </c>
      <c r="I24" s="23">
        <f t="shared" si="7"/>
        <v>6930</v>
      </c>
      <c r="J24" s="23">
        <f t="shared" si="8"/>
        <v>15.846927459931843</v>
      </c>
      <c r="K24" s="37">
        <f t="shared" si="1"/>
        <v>1321.8414057436507</v>
      </c>
      <c r="L24" s="17">
        <f t="shared" si="2"/>
        <v>86.001726518619932</v>
      </c>
      <c r="M24" s="17">
        <f t="shared" si="3"/>
        <v>793.86209094110711</v>
      </c>
      <c r="N24" s="17"/>
      <c r="O24" s="17"/>
      <c r="P24" s="28">
        <f t="shared" si="4"/>
        <v>1321.8414057436507</v>
      </c>
      <c r="Q24" s="28">
        <f t="shared" si="9"/>
        <v>13632.400428780098</v>
      </c>
      <c r="R24" s="29">
        <v>11</v>
      </c>
      <c r="U24" s="23">
        <f t="shared" si="10"/>
        <v>1870.1446693233565</v>
      </c>
      <c r="V24" s="28">
        <f t="shared" si="11"/>
        <v>18668.878135491181</v>
      </c>
      <c r="W24" s="29">
        <v>11</v>
      </c>
    </row>
    <row r="25" spans="1:23" ht="15" x14ac:dyDescent="0.25">
      <c r="A25">
        <v>12</v>
      </c>
      <c r="B25" s="30">
        <f t="shared" si="12"/>
        <v>9043.8207500880453</v>
      </c>
      <c r="C25" s="31">
        <f t="shared" si="5"/>
        <v>0.91351724748364094</v>
      </c>
      <c r="D25" s="25">
        <v>14.9</v>
      </c>
      <c r="E25" s="25">
        <v>12.57</v>
      </c>
      <c r="F25" s="26">
        <f t="shared" si="6"/>
        <v>1.4257608868461793</v>
      </c>
      <c r="G25" s="25">
        <f t="shared" si="13"/>
        <v>17.921814347656476</v>
      </c>
      <c r="H25" s="12">
        <f t="shared" si="0"/>
        <v>1620.8167647656128</v>
      </c>
      <c r="I25" s="23">
        <f t="shared" si="7"/>
        <v>6930</v>
      </c>
      <c r="J25" s="23">
        <f t="shared" si="8"/>
        <v>16.16386600913048</v>
      </c>
      <c r="K25" s="37">
        <f t="shared" si="1"/>
        <v>1338.8280128118963</v>
      </c>
      <c r="L25" s="17">
        <f t="shared" si="2"/>
        <v>82.439009253433767</v>
      </c>
      <c r="M25" s="17">
        <f t="shared" si="3"/>
        <v>760.97547003169632</v>
      </c>
      <c r="N25" s="17"/>
      <c r="O25" s="17"/>
      <c r="P25" s="28">
        <f t="shared" si="4"/>
        <v>1338.8280128118963</v>
      </c>
      <c r="Q25" s="28">
        <f t="shared" si="9"/>
        <v>14971.228441591995</v>
      </c>
      <c r="R25" s="29">
        <v>12</v>
      </c>
      <c r="U25" s="23">
        <f t="shared" si="10"/>
        <v>1907.5475627098238</v>
      </c>
      <c r="V25" s="28">
        <f t="shared" si="11"/>
        <v>20576.425698201005</v>
      </c>
      <c r="W25" s="29">
        <v>12</v>
      </c>
    </row>
    <row r="26" spans="1:23" ht="15" x14ac:dyDescent="0.25">
      <c r="A26">
        <v>13</v>
      </c>
      <c r="B26" s="30">
        <f t="shared" si="12"/>
        <v>8953.3825425871655</v>
      </c>
      <c r="C26" s="31">
        <f t="shared" si="5"/>
        <v>0.90438207500880463</v>
      </c>
      <c r="D26" s="25">
        <v>14.9</v>
      </c>
      <c r="E26" s="25">
        <v>12.57</v>
      </c>
      <c r="F26" s="26">
        <f t="shared" si="6"/>
        <v>1.4685337134515648</v>
      </c>
      <c r="G26" s="25">
        <f t="shared" si="13"/>
        <v>18.459468778086169</v>
      </c>
      <c r="H26" s="12">
        <f t="shared" si="0"/>
        <v>1652.7468550314954</v>
      </c>
      <c r="I26" s="23">
        <f t="shared" si="7"/>
        <v>6930</v>
      </c>
      <c r="J26" s="23">
        <f t="shared" si="8"/>
        <v>16.487143329313088</v>
      </c>
      <c r="K26" s="37">
        <f t="shared" si="1"/>
        <v>1356.0617398552502</v>
      </c>
      <c r="L26" s="17">
        <f t="shared" si="2"/>
        <v>78.911919160899458</v>
      </c>
      <c r="M26" s="17">
        <f t="shared" si="3"/>
        <v>728.41771533137955</v>
      </c>
      <c r="N26" s="17"/>
      <c r="O26" s="17"/>
      <c r="P26" s="28">
        <f t="shared" si="4"/>
        <v>1356.0617398552502</v>
      </c>
      <c r="Q26" s="28">
        <f t="shared" si="9"/>
        <v>16327.290181447244</v>
      </c>
      <c r="R26" s="29">
        <v>13</v>
      </c>
      <c r="U26" s="23">
        <f t="shared" si="10"/>
        <v>1945.6985139640203</v>
      </c>
      <c r="V26" s="28">
        <f t="shared" si="11"/>
        <v>22522.124212165025</v>
      </c>
      <c r="W26" s="29">
        <v>13</v>
      </c>
    </row>
    <row r="27" spans="1:23" ht="15" x14ac:dyDescent="0.25">
      <c r="A27">
        <v>14</v>
      </c>
      <c r="B27" s="30">
        <f t="shared" si="12"/>
        <v>8863.8487171612942</v>
      </c>
      <c r="C27" s="31">
        <f t="shared" si="5"/>
        <v>0.8953382542587166</v>
      </c>
      <c r="D27" s="25">
        <v>14.9</v>
      </c>
      <c r="E27" s="25">
        <v>12.57</v>
      </c>
      <c r="F27" s="26">
        <f t="shared" si="6"/>
        <v>1.5125897248551119</v>
      </c>
      <c r="G27" s="25">
        <f t="shared" si="13"/>
        <v>19.013252841428756</v>
      </c>
      <c r="H27" s="12">
        <f t="shared" si="0"/>
        <v>1685.3059680756162</v>
      </c>
      <c r="I27" s="23">
        <f t="shared" si="7"/>
        <v>6930</v>
      </c>
      <c r="J27" s="23">
        <f t="shared" si="8"/>
        <v>16.81688619589935</v>
      </c>
      <c r="K27" s="37">
        <f t="shared" si="1"/>
        <v>1373.5466216739846</v>
      </c>
      <c r="L27" s="17">
        <f t="shared" si="2"/>
        <v>75.420099969290462</v>
      </c>
      <c r="M27" s="17">
        <f t="shared" si="3"/>
        <v>696.18553817806583</v>
      </c>
      <c r="N27" s="17"/>
      <c r="O27" s="17"/>
      <c r="P27" s="28">
        <f t="shared" si="4"/>
        <v>1373.5466216739846</v>
      </c>
      <c r="Q27" s="28">
        <f t="shared" si="9"/>
        <v>17700.83680312123</v>
      </c>
      <c r="R27" s="29">
        <v>14</v>
      </c>
      <c r="U27" s="23">
        <f t="shared" si="10"/>
        <v>1984.6124842433007</v>
      </c>
      <c r="V27" s="28">
        <f t="shared" si="11"/>
        <v>24506.736696408327</v>
      </c>
      <c r="W27" s="29">
        <v>14</v>
      </c>
    </row>
    <row r="28" spans="1:23" ht="15" x14ac:dyDescent="0.25">
      <c r="A28">
        <v>15</v>
      </c>
      <c r="B28" s="30">
        <f t="shared" si="12"/>
        <v>8775.2102299896815</v>
      </c>
      <c r="C28" s="31">
        <f t="shared" si="5"/>
        <v>0.88638487171612945</v>
      </c>
      <c r="D28" s="25">
        <v>14.9</v>
      </c>
      <c r="E28" s="25">
        <v>12.57</v>
      </c>
      <c r="F28" s="26">
        <f t="shared" si="6"/>
        <v>1.5579674166007653</v>
      </c>
      <c r="G28" s="25">
        <f t="shared" si="13"/>
        <v>19.583650426671621</v>
      </c>
      <c r="H28" s="12">
        <f t="shared" si="0"/>
        <v>1718.5064956467061</v>
      </c>
      <c r="I28" s="23">
        <f t="shared" si="7"/>
        <v>6930</v>
      </c>
      <c r="J28" s="23">
        <f t="shared" si="8"/>
        <v>17.153223919817336</v>
      </c>
      <c r="K28" s="37">
        <f t="shared" si="1"/>
        <v>1391.2867648699057</v>
      </c>
      <c r="L28" s="17">
        <f t="shared" si="2"/>
        <v>71.963198969597585</v>
      </c>
      <c r="M28" s="17">
        <f t="shared" si="3"/>
        <v>664.27568279628531</v>
      </c>
      <c r="N28" s="17"/>
      <c r="O28" s="17"/>
      <c r="P28" s="28">
        <f t="shared" si="4"/>
        <v>1391.2867648699057</v>
      </c>
      <c r="Q28" s="28">
        <f t="shared" si="9"/>
        <v>19092.123567991137</v>
      </c>
      <c r="R28" s="29">
        <v>15</v>
      </c>
      <c r="U28" s="23">
        <f t="shared" si="10"/>
        <v>2024.3047339281668</v>
      </c>
      <c r="V28" s="28">
        <f t="shared" si="11"/>
        <v>26531.041430336492</v>
      </c>
      <c r="W28" s="29">
        <v>15</v>
      </c>
    </row>
    <row r="29" spans="1:23" ht="15" x14ac:dyDescent="0.25">
      <c r="A29">
        <v>16</v>
      </c>
      <c r="B29" s="30">
        <f t="shared" si="12"/>
        <v>8687.4581276897843</v>
      </c>
      <c r="C29" s="31">
        <f t="shared" si="5"/>
        <v>0.87752102299896806</v>
      </c>
      <c r="D29" s="25">
        <v>14.9</v>
      </c>
      <c r="E29" s="25">
        <v>12.57</v>
      </c>
      <c r="F29" s="26">
        <f t="shared" si="6"/>
        <v>1.6047064390987884</v>
      </c>
      <c r="G29" s="25">
        <f t="shared" si="13"/>
        <v>20.171159939471771</v>
      </c>
      <c r="H29" s="12">
        <f t="shared" si="0"/>
        <v>1752.3610736109463</v>
      </c>
      <c r="I29" s="23">
        <f t="shared" si="7"/>
        <v>6930</v>
      </c>
      <c r="J29" s="23">
        <f t="shared" si="8"/>
        <v>17.496288398213682</v>
      </c>
      <c r="K29" s="37">
        <f t="shared" si="1"/>
        <v>1409.2863491952169</v>
      </c>
      <c r="L29" s="17">
        <f t="shared" si="2"/>
        <v>68.54086697990158</v>
      </c>
      <c r="M29" s="17">
        <f t="shared" si="3"/>
        <v>632.68492596832232</v>
      </c>
      <c r="N29" s="17"/>
      <c r="O29" s="17"/>
      <c r="P29" s="28">
        <f t="shared" si="4"/>
        <v>1409.2863491952169</v>
      </c>
      <c r="Q29" s="28">
        <f t="shared" si="9"/>
        <v>20501.409917186353</v>
      </c>
      <c r="R29" s="29">
        <v>16</v>
      </c>
      <c r="U29" s="23">
        <f t="shared" si="10"/>
        <v>2064.79082860673</v>
      </c>
      <c r="V29" s="28">
        <f t="shared" si="11"/>
        <v>28595.832258943221</v>
      </c>
      <c r="W29" s="29">
        <v>16</v>
      </c>
    </row>
    <row r="30" spans="1:23" ht="15" x14ac:dyDescent="0.25">
      <c r="A30">
        <v>17</v>
      </c>
      <c r="B30" s="30">
        <f t="shared" si="12"/>
        <v>8600.5835464128868</v>
      </c>
      <c r="C30" s="31">
        <f t="shared" si="5"/>
        <v>0.86874581276897844</v>
      </c>
      <c r="D30" s="25">
        <v>14.9</v>
      </c>
      <c r="E30" s="25">
        <v>12.57</v>
      </c>
      <c r="F30" s="26">
        <f t="shared" si="6"/>
        <v>1.652847632271752</v>
      </c>
      <c r="G30" s="25">
        <f t="shared" si="13"/>
        <v>20.776294737655924</v>
      </c>
      <c r="H30" s="12">
        <f t="shared" si="0"/>
        <v>1786.8825867610817</v>
      </c>
      <c r="I30" s="23">
        <f t="shared" si="7"/>
        <v>6930</v>
      </c>
      <c r="J30" s="23">
        <f t="shared" si="8"/>
        <v>17.846214166177955</v>
      </c>
      <c r="K30" s="37">
        <f t="shared" si="1"/>
        <v>1427.5496289275079</v>
      </c>
      <c r="L30" s="17">
        <f t="shared" si="2"/>
        <v>65.152758310102584</v>
      </c>
      <c r="M30" s="17">
        <f t="shared" si="3"/>
        <v>601.41007670863917</v>
      </c>
      <c r="N30" s="17"/>
      <c r="O30" s="17"/>
      <c r="P30" s="28">
        <f t="shared" si="4"/>
        <v>1427.5496289275079</v>
      </c>
      <c r="Q30" s="28">
        <f t="shared" si="9"/>
        <v>21928.95954611386</v>
      </c>
      <c r="R30" s="29">
        <v>17</v>
      </c>
      <c r="U30" s="23">
        <f t="shared" si="10"/>
        <v>2106.0866451788647</v>
      </c>
      <c r="V30" s="28">
        <f t="shared" si="11"/>
        <v>30701.918904122085</v>
      </c>
      <c r="W30" s="29">
        <v>17</v>
      </c>
    </row>
    <row r="31" spans="1:23" ht="15" x14ac:dyDescent="0.25">
      <c r="A31">
        <v>18</v>
      </c>
      <c r="B31" s="30">
        <f t="shared" si="12"/>
        <v>8514.5777109487572</v>
      </c>
      <c r="C31" s="31">
        <f t="shared" si="5"/>
        <v>0.86005835464128855</v>
      </c>
      <c r="D31" s="25">
        <v>14.9</v>
      </c>
      <c r="E31" s="25">
        <v>12.57</v>
      </c>
      <c r="F31" s="26">
        <f t="shared" si="6"/>
        <v>1.7024330612399046</v>
      </c>
      <c r="G31" s="25">
        <f t="shared" si="13"/>
        <v>21.399583579785602</v>
      </c>
      <c r="H31" s="12">
        <f t="shared" si="0"/>
        <v>1822.084173720275</v>
      </c>
      <c r="I31" s="23">
        <f t="shared" si="7"/>
        <v>6930</v>
      </c>
      <c r="J31" s="23">
        <f t="shared" si="8"/>
        <v>18.203138449501512</v>
      </c>
      <c r="K31" s="37">
        <f t="shared" si="1"/>
        <v>1446.0809342713792</v>
      </c>
      <c r="L31" s="17">
        <f t="shared" si="2"/>
        <v>61.798530727001527</v>
      </c>
      <c r="M31" s="17">
        <f t="shared" si="3"/>
        <v>570.4479759415525</v>
      </c>
      <c r="N31" s="17"/>
      <c r="O31" s="17"/>
      <c r="P31" s="28">
        <f t="shared" si="4"/>
        <v>1446.0809342713792</v>
      </c>
      <c r="Q31" s="28">
        <f t="shared" si="9"/>
        <v>23375.04048038524</v>
      </c>
      <c r="R31" s="29">
        <v>18</v>
      </c>
      <c r="U31" s="23">
        <f t="shared" si="10"/>
        <v>2148.2083780824419</v>
      </c>
      <c r="V31" s="28">
        <f t="shared" si="11"/>
        <v>32850.127282204528</v>
      </c>
      <c r="W31" s="29">
        <v>18</v>
      </c>
    </row>
    <row r="32" spans="1:23" ht="15" x14ac:dyDescent="0.25">
      <c r="A32">
        <v>19</v>
      </c>
      <c r="B32" s="30">
        <f t="shared" si="12"/>
        <v>8429.4319338392688</v>
      </c>
      <c r="C32" s="31">
        <f t="shared" si="5"/>
        <v>0.85145777109487564</v>
      </c>
      <c r="D32" s="25">
        <v>14.9</v>
      </c>
      <c r="E32" s="25">
        <v>12.57</v>
      </c>
      <c r="F32" s="26">
        <f t="shared" si="6"/>
        <v>1.7535060530771018</v>
      </c>
      <c r="G32" s="25">
        <f t="shared" si="13"/>
        <v>22.041571087179172</v>
      </c>
      <c r="H32" s="12">
        <f t="shared" si="0"/>
        <v>1857.9792319425644</v>
      </c>
      <c r="I32" s="23">
        <f t="shared" si="7"/>
        <v>6930</v>
      </c>
      <c r="J32" s="23">
        <f t="shared" si="8"/>
        <v>18.567201218491544</v>
      </c>
      <c r="K32" s="37">
        <f t="shared" si="1"/>
        <v>1464.8846727872278</v>
      </c>
      <c r="L32" s="17">
        <f t="shared" si="2"/>
        <v>58.477845419731487</v>
      </c>
      <c r="M32" s="17">
        <f t="shared" si="3"/>
        <v>539.79549618213673</v>
      </c>
      <c r="N32" s="17"/>
      <c r="O32" s="17"/>
      <c r="P32" s="28">
        <f t="shared" si="4"/>
        <v>1464.8846727872278</v>
      </c>
      <c r="Q32" s="28">
        <f t="shared" si="9"/>
        <v>24839.925153172466</v>
      </c>
      <c r="R32" s="29">
        <v>19</v>
      </c>
      <c r="U32" s="23">
        <f t="shared" si="10"/>
        <v>2191.1725456440909</v>
      </c>
      <c r="V32" s="28">
        <f t="shared" si="11"/>
        <v>35041.299827848619</v>
      </c>
      <c r="W32" s="29">
        <v>19</v>
      </c>
    </row>
    <row r="33" spans="1:23" ht="15" x14ac:dyDescent="0.25">
      <c r="A33">
        <v>20</v>
      </c>
      <c r="B33" s="30">
        <f t="shared" si="12"/>
        <v>8345.1376145008762</v>
      </c>
      <c r="C33" s="31">
        <f t="shared" si="5"/>
        <v>0.84294319338392687</v>
      </c>
      <c r="D33" s="25">
        <v>14.9</v>
      </c>
      <c r="E33" s="25">
        <v>12.57</v>
      </c>
      <c r="F33" s="26">
        <f t="shared" si="6"/>
        <v>1.806111234669415</v>
      </c>
      <c r="G33" s="25">
        <f t="shared" si="13"/>
        <v>22.702818219794548</v>
      </c>
      <c r="H33" s="12">
        <f t="shared" si="0"/>
        <v>1894.5814228118331</v>
      </c>
      <c r="I33" s="23">
        <f t="shared" si="7"/>
        <v>6930</v>
      </c>
      <c r="J33" s="23">
        <f t="shared" si="8"/>
        <v>18.938545242861373</v>
      </c>
      <c r="K33" s="37">
        <f t="shared" si="1"/>
        <v>1483.9653308477316</v>
      </c>
      <c r="L33" s="17">
        <f t="shared" si="2"/>
        <v>55.190366965534167</v>
      </c>
      <c r="M33" s="17">
        <f t="shared" si="3"/>
        <v>509.44954122031544</v>
      </c>
      <c r="N33" s="17"/>
      <c r="O33" s="17"/>
      <c r="P33" s="28">
        <f t="shared" si="4"/>
        <v>1483.9653308477316</v>
      </c>
      <c r="Q33" s="28">
        <f t="shared" si="9"/>
        <v>26323.890484020198</v>
      </c>
      <c r="R33" s="29">
        <v>20</v>
      </c>
      <c r="U33" s="23">
        <f t="shared" si="10"/>
        <v>2234.9959965569728</v>
      </c>
      <c r="V33" s="28">
        <f t="shared" si="11"/>
        <v>37276.295824405592</v>
      </c>
      <c r="W33" s="29">
        <v>20</v>
      </c>
    </row>
    <row r="34" spans="1:23" ht="15" x14ac:dyDescent="0.25">
      <c r="A34">
        <v>21</v>
      </c>
      <c r="B34" s="30">
        <f t="shared" si="12"/>
        <v>8261.6862383558673</v>
      </c>
      <c r="C34" s="31">
        <f t="shared" si="5"/>
        <v>0.8345137614500876</v>
      </c>
      <c r="D34" s="25"/>
      <c r="E34" s="25"/>
      <c r="F34" s="26"/>
      <c r="G34" s="25"/>
      <c r="H34" s="12">
        <f t="shared" si="0"/>
        <v>0</v>
      </c>
      <c r="I34" s="23">
        <f t="shared" si="7"/>
        <v>6930</v>
      </c>
      <c r="J34" s="23">
        <f t="shared" si="8"/>
        <v>19.3173161477186</v>
      </c>
      <c r="K34" s="37">
        <f t="shared" si="1"/>
        <v>1503.3274751225722</v>
      </c>
      <c r="L34" s="17">
        <f t="shared" si="2"/>
        <v>51.935763295878822</v>
      </c>
      <c r="M34" s="17">
        <f t="shared" si="3"/>
        <v>479.40704580811223</v>
      </c>
      <c r="N34" s="17"/>
      <c r="O34" s="17"/>
      <c r="P34" s="28">
        <f t="shared" si="4"/>
        <v>1503.3274751225722</v>
      </c>
      <c r="Q34" s="28">
        <f t="shared" si="9"/>
        <v>27827.21795914277</v>
      </c>
      <c r="R34" s="29">
        <v>21</v>
      </c>
      <c r="U34" s="23">
        <f t="shared" si="10"/>
        <v>2279.6959164881123</v>
      </c>
      <c r="V34" s="28">
        <f t="shared" si="11"/>
        <v>39555.991740893704</v>
      </c>
      <c r="W34" s="29">
        <v>21</v>
      </c>
    </row>
    <row r="35" spans="1:23" ht="15" x14ac:dyDescent="0.25">
      <c r="A35">
        <v>22</v>
      </c>
      <c r="B35" s="30">
        <f t="shared" si="12"/>
        <v>8179.069375972309</v>
      </c>
      <c r="C35" s="31">
        <f t="shared" si="5"/>
        <v>0.82616862383558676</v>
      </c>
      <c r="D35" s="25"/>
      <c r="E35" s="25"/>
      <c r="F35" s="26"/>
      <c r="G35" s="25"/>
      <c r="H35" s="12">
        <f t="shared" si="0"/>
        <v>0</v>
      </c>
      <c r="I35" s="23">
        <f t="shared" si="7"/>
        <v>6930</v>
      </c>
      <c r="J35" s="23">
        <f t="shared" si="8"/>
        <v>19.70366247067297</v>
      </c>
      <c r="K35" s="37">
        <f t="shared" si="1"/>
        <v>1522.9757540919568</v>
      </c>
      <c r="L35" s="17">
        <f t="shared" si="2"/>
        <v>48.713705662920049</v>
      </c>
      <c r="M35" s="17">
        <f t="shared" si="3"/>
        <v>449.66497535003123</v>
      </c>
      <c r="N35" s="17"/>
      <c r="O35" s="17"/>
      <c r="P35" s="28">
        <f t="shared" si="4"/>
        <v>1522.9757540919568</v>
      </c>
      <c r="Q35" s="28">
        <f t="shared" si="9"/>
        <v>29350.193713234727</v>
      </c>
      <c r="R35" s="29">
        <v>22</v>
      </c>
      <c r="U35" s="23">
        <f t="shared" si="10"/>
        <v>2325.2898348178746</v>
      </c>
      <c r="V35" s="28">
        <f t="shared" si="11"/>
        <v>41881.281575711575</v>
      </c>
      <c r="W35" s="29">
        <v>22</v>
      </c>
    </row>
    <row r="36" spans="1:23" ht="15" x14ac:dyDescent="0.25">
      <c r="A36">
        <v>23</v>
      </c>
      <c r="B36" s="30">
        <f t="shared" si="12"/>
        <v>8097.2786822125863</v>
      </c>
      <c r="C36" s="31">
        <f t="shared" si="5"/>
        <v>0.81790693759723099</v>
      </c>
      <c r="D36" s="25"/>
      <c r="E36" s="25"/>
      <c r="F36" s="26"/>
      <c r="G36" s="25"/>
      <c r="H36" s="12">
        <f t="shared" si="0"/>
        <v>0</v>
      </c>
      <c r="I36" s="23">
        <f t="shared" si="7"/>
        <v>6930</v>
      </c>
      <c r="J36" s="23">
        <f t="shared" si="8"/>
        <v>20.09773572008643</v>
      </c>
      <c r="K36" s="37">
        <f t="shared" si="1"/>
        <v>1542.9148995895052</v>
      </c>
      <c r="L36" s="17">
        <f t="shared" si="2"/>
        <v>45.523868606290861</v>
      </c>
      <c r="M36" s="17">
        <f t="shared" si="3"/>
        <v>420.22032559653104</v>
      </c>
      <c r="N36" s="17"/>
      <c r="O36" s="17"/>
      <c r="P36" s="28">
        <f t="shared" si="4"/>
        <v>1542.9148995895052</v>
      </c>
      <c r="Q36" s="28">
        <f t="shared" si="9"/>
        <v>30893.108612824231</v>
      </c>
      <c r="R36" s="29">
        <v>23</v>
      </c>
      <c r="U36" s="23">
        <f t="shared" si="10"/>
        <v>2371.7956315142319</v>
      </c>
      <c r="V36" s="28">
        <f t="shared" si="11"/>
        <v>44253.077207225804</v>
      </c>
      <c r="W36" s="29">
        <v>23</v>
      </c>
    </row>
    <row r="37" spans="1:23" ht="15" x14ac:dyDescent="0.25">
      <c r="A37">
        <v>24</v>
      </c>
      <c r="B37" s="30">
        <f t="shared" si="12"/>
        <v>8016.3058953904601</v>
      </c>
      <c r="C37" s="31">
        <f t="shared" si="5"/>
        <v>0.80972786822125864</v>
      </c>
      <c r="D37" s="25"/>
      <c r="E37" s="25"/>
      <c r="F37" s="26"/>
      <c r="G37" s="25"/>
      <c r="H37" s="12">
        <f t="shared" si="0"/>
        <v>0</v>
      </c>
      <c r="I37" s="23">
        <f t="shared" si="7"/>
        <v>6930</v>
      </c>
      <c r="J37" s="23">
        <f t="shared" si="8"/>
        <v>20.499690434488159</v>
      </c>
      <c r="K37" s="37">
        <f t="shared" si="1"/>
        <v>1563.1497283750784</v>
      </c>
      <c r="L37" s="17">
        <f t="shared" si="2"/>
        <v>42.365929920227948</v>
      </c>
      <c r="M37" s="17">
        <f t="shared" si="3"/>
        <v>391.07012234056566</v>
      </c>
      <c r="N37" s="17"/>
      <c r="O37" s="17"/>
      <c r="P37" s="28">
        <f t="shared" si="4"/>
        <v>1563.1497283750784</v>
      </c>
      <c r="Q37" s="28">
        <f t="shared" si="9"/>
        <v>32456.258341199311</v>
      </c>
      <c r="R37" s="29">
        <v>24</v>
      </c>
      <c r="U37" s="23">
        <f t="shared" si="10"/>
        <v>2419.2315441445166</v>
      </c>
      <c r="V37" s="28">
        <f t="shared" si="11"/>
        <v>46672.308751370321</v>
      </c>
      <c r="W37" s="29">
        <v>24</v>
      </c>
    </row>
    <row r="38" spans="1:23" ht="15" x14ac:dyDescent="0.25">
      <c r="A38">
        <v>25</v>
      </c>
      <c r="B38" s="30">
        <f t="shared" si="12"/>
        <v>7936.1428364365556</v>
      </c>
      <c r="C38" s="31">
        <f t="shared" si="5"/>
        <v>0.80163058953904598</v>
      </c>
      <c r="D38" s="25"/>
      <c r="E38" s="25"/>
      <c r="F38" s="26"/>
      <c r="G38" s="25"/>
      <c r="H38" s="12">
        <f t="shared" si="0"/>
        <v>0</v>
      </c>
      <c r="I38" s="23">
        <f t="shared" si="7"/>
        <v>6930</v>
      </c>
      <c r="J38" s="23">
        <f t="shared" si="8"/>
        <v>20.909684243177921</v>
      </c>
      <c r="K38" s="37">
        <f t="shared" si="1"/>
        <v>1583.6851437381422</v>
      </c>
      <c r="L38" s="17">
        <f t="shared" si="2"/>
        <v>39.239570621025671</v>
      </c>
      <c r="M38" s="17">
        <f t="shared" si="3"/>
        <v>362.21142111716</v>
      </c>
      <c r="N38" s="17"/>
      <c r="O38" s="17"/>
      <c r="P38" s="28">
        <f t="shared" si="4"/>
        <v>1583.6851437381422</v>
      </c>
      <c r="Q38" s="28">
        <f t="shared" si="9"/>
        <v>34039.943484937452</v>
      </c>
      <c r="R38" s="29">
        <v>25</v>
      </c>
      <c r="U38" s="23">
        <f t="shared" si="10"/>
        <v>2467.6161750274068</v>
      </c>
      <c r="V38" s="28">
        <f t="shared" si="11"/>
        <v>49139.924926397725</v>
      </c>
      <c r="W38" s="29">
        <v>25</v>
      </c>
    </row>
    <row r="39" spans="1:23" ht="15" x14ac:dyDescent="0.25">
      <c r="A39">
        <v>26</v>
      </c>
      <c r="B39" s="30">
        <f>B38-(1%*B38)</f>
        <v>7856.7814080721901</v>
      </c>
      <c r="C39" s="31">
        <f t="shared" si="5"/>
        <v>0.7936142836436556</v>
      </c>
      <c r="D39" s="25"/>
      <c r="E39" s="25"/>
      <c r="F39" s="26"/>
      <c r="G39" s="25"/>
      <c r="H39" s="12">
        <f>B39*G39/100</f>
        <v>0</v>
      </c>
      <c r="I39" s="23">
        <f t="shared" si="7"/>
        <v>6930</v>
      </c>
      <c r="J39" s="23">
        <f>J38+(J38*J$12)</f>
        <v>21.327877928041481</v>
      </c>
      <c r="K39" s="37">
        <f t="shared" si="1"/>
        <v>1604.526137132264</v>
      </c>
      <c r="L39" s="17">
        <f t="shared" si="2"/>
        <v>36.144474914815412</v>
      </c>
      <c r="M39" s="17">
        <f t="shared" si="3"/>
        <v>333.64130690598842</v>
      </c>
      <c r="N39" s="17"/>
      <c r="O39" s="17"/>
      <c r="P39" s="28">
        <f t="shared" si="4"/>
        <v>1604.526137132264</v>
      </c>
      <c r="Q39" s="28">
        <f>Q38+P39</f>
        <v>35644.469622069715</v>
      </c>
      <c r="R39" s="29">
        <v>26</v>
      </c>
      <c r="U39" s="23">
        <f t="shared" si="10"/>
        <v>2516.968498527955</v>
      </c>
      <c r="V39" s="28">
        <f>V38+U39</f>
        <v>51656.893424925678</v>
      </c>
      <c r="W39" s="29">
        <v>26</v>
      </c>
    </row>
    <row r="40" spans="1:23" ht="15" x14ac:dyDescent="0.25">
      <c r="A40">
        <v>27</v>
      </c>
      <c r="B40" s="30">
        <f>B39-(1%*B39)</f>
        <v>7778.2135939914679</v>
      </c>
      <c r="C40" s="31">
        <f t="shared" si="5"/>
        <v>0.78567814080721898</v>
      </c>
      <c r="D40" s="25"/>
      <c r="E40" s="25"/>
      <c r="F40" s="26"/>
      <c r="G40" s="25"/>
      <c r="H40" s="12">
        <f>B40*G40/100</f>
        <v>0</v>
      </c>
      <c r="I40" s="23">
        <f t="shared" si="7"/>
        <v>6930</v>
      </c>
      <c r="J40" s="23">
        <f>J39+(J39*J$12)</f>
        <v>21.754435486602311</v>
      </c>
      <c r="K40" s="37">
        <f t="shared" si="1"/>
        <v>1625.6777898413577</v>
      </c>
      <c r="L40" s="17">
        <f t="shared" si="2"/>
        <v>33.080330165667249</v>
      </c>
      <c r="M40" s="17">
        <f t="shared" si="3"/>
        <v>305.35689383692841</v>
      </c>
      <c r="N40" s="17"/>
      <c r="O40" s="17"/>
      <c r="P40" s="28">
        <f t="shared" si="4"/>
        <v>1625.6777898413577</v>
      </c>
      <c r="Q40" s="28">
        <f>Q39+P40</f>
        <v>37270.147411911072</v>
      </c>
      <c r="R40" s="29">
        <v>27</v>
      </c>
      <c r="U40" s="23">
        <f t="shared" si="10"/>
        <v>2567.3078684985139</v>
      </c>
      <c r="V40" s="28">
        <f>V39+U40</f>
        <v>54224.201293424194</v>
      </c>
      <c r="W40" s="29">
        <v>27</v>
      </c>
    </row>
    <row r="41" spans="1:23" ht="15" x14ac:dyDescent="0.25">
      <c r="A41">
        <v>28</v>
      </c>
      <c r="B41" s="30">
        <f>B40-(1%*B40)</f>
        <v>7700.4314580515529</v>
      </c>
      <c r="C41" s="31">
        <f t="shared" si="5"/>
        <v>0.77782135939914676</v>
      </c>
      <c r="D41" s="25"/>
      <c r="E41" s="25"/>
      <c r="F41" s="26"/>
      <c r="G41" s="25"/>
      <c r="H41" s="12">
        <f>B41*G41/100</f>
        <v>0</v>
      </c>
      <c r="I41" s="23">
        <f t="shared" si="7"/>
        <v>6930</v>
      </c>
      <c r="J41" s="23">
        <f>J40+(J40*J$12)</f>
        <v>22.189524196334357</v>
      </c>
      <c r="K41" s="37">
        <f t="shared" si="1"/>
        <v>1647.1452746783043</v>
      </c>
      <c r="L41" s="17">
        <f t="shared" si="2"/>
        <v>30.046826864010562</v>
      </c>
      <c r="M41" s="17">
        <f t="shared" si="3"/>
        <v>277.35532489855905</v>
      </c>
      <c r="N41" s="17"/>
      <c r="O41" s="17"/>
      <c r="P41" s="28">
        <f t="shared" si="4"/>
        <v>1647.1452746783043</v>
      </c>
      <c r="Q41" s="28">
        <f>Q40+P41</f>
        <v>38917.292686589375</v>
      </c>
      <c r="R41" s="29">
        <v>28</v>
      </c>
      <c r="U41" s="23">
        <f t="shared" si="10"/>
        <v>2618.654025868484</v>
      </c>
      <c r="V41" s="28">
        <f>V40+U41</f>
        <v>56842.855319292677</v>
      </c>
      <c r="W41" s="29">
        <v>28</v>
      </c>
    </row>
    <row r="42" spans="1:23" ht="15" x14ac:dyDescent="0.25">
      <c r="A42">
        <v>29</v>
      </c>
      <c r="B42" s="30">
        <f>B41-(1%*B41)</f>
        <v>7623.4271434710372</v>
      </c>
      <c r="C42" s="31">
        <f t="shared" si="5"/>
        <v>0.77004314580515532</v>
      </c>
      <c r="D42" s="25"/>
      <c r="E42" s="25"/>
      <c r="F42" s="26"/>
      <c r="G42" s="25"/>
      <c r="H42" s="12">
        <f>B42*G42/100</f>
        <v>0</v>
      </c>
      <c r="I42" s="23">
        <f t="shared" si="7"/>
        <v>6930</v>
      </c>
      <c r="J42" s="23">
        <f>J41+(J41*J$12)</f>
        <v>22.633314680261044</v>
      </c>
      <c r="K42" s="37">
        <f t="shared" si="1"/>
        <v>1668.9338577165834</v>
      </c>
      <c r="L42" s="17">
        <f t="shared" si="2"/>
        <v>27.043658595370449</v>
      </c>
      <c r="M42" s="17">
        <f t="shared" si="3"/>
        <v>249.63377164957339</v>
      </c>
      <c r="N42" s="17"/>
      <c r="O42" s="17"/>
      <c r="P42" s="28">
        <f t="shared" si="4"/>
        <v>1668.9338577165834</v>
      </c>
      <c r="Q42" s="28">
        <f>Q41+P42</f>
        <v>40586.226544305959</v>
      </c>
      <c r="R42" s="29">
        <v>29</v>
      </c>
      <c r="U42" s="23">
        <f t="shared" si="10"/>
        <v>2671.0271063858536</v>
      </c>
      <c r="V42" s="28">
        <f>V41+U42</f>
        <v>59513.88242567853</v>
      </c>
      <c r="W42" s="29">
        <v>29</v>
      </c>
    </row>
    <row r="43" spans="1:23" ht="15" x14ac:dyDescent="0.25">
      <c r="A43">
        <v>30</v>
      </c>
      <c r="B43" s="30">
        <f>B42-(1%*B42)</f>
        <v>7547.1928720363267</v>
      </c>
      <c r="C43" s="31">
        <f t="shared" si="5"/>
        <v>0.76234271434710366</v>
      </c>
      <c r="D43" s="25"/>
      <c r="E43" s="25"/>
      <c r="F43" s="26"/>
      <c r="G43" s="25"/>
      <c r="H43" s="12">
        <f>B43*G43/100</f>
        <v>0</v>
      </c>
      <c r="I43" s="23">
        <f t="shared" si="7"/>
        <v>6930</v>
      </c>
      <c r="J43" s="23">
        <f>J42+(J42*J$12)</f>
        <v>23.085980973866267</v>
      </c>
      <c r="K43" s="37">
        <f t="shared" si="1"/>
        <v>1691.048900055566</v>
      </c>
      <c r="L43" s="17">
        <f t="shared" si="2"/>
        <v>24.070522009416742</v>
      </c>
      <c r="M43" s="17">
        <f t="shared" si="3"/>
        <v>222.18943393307759</v>
      </c>
      <c r="N43" s="17"/>
      <c r="O43" s="17"/>
      <c r="P43" s="28">
        <f t="shared" si="4"/>
        <v>1691.048900055566</v>
      </c>
      <c r="Q43" s="28">
        <f>Q42+P43</f>
        <v>42277.275444361527</v>
      </c>
      <c r="R43" s="29">
        <v>30</v>
      </c>
      <c r="U43" s="23">
        <f t="shared" si="10"/>
        <v>2724.4476485135706</v>
      </c>
      <c r="V43" s="28">
        <f>V42+U43</f>
        <v>62238.330074192098</v>
      </c>
      <c r="W43" s="29">
        <v>30</v>
      </c>
    </row>
    <row r="44" spans="1:23" x14ac:dyDescent="0.2">
      <c r="B44" s="30"/>
      <c r="C44" s="31"/>
      <c r="D44" s="25"/>
      <c r="E44" s="25"/>
      <c r="F44" s="25"/>
      <c r="G44" s="25"/>
      <c r="H44" s="32"/>
      <c r="I44" s="23"/>
      <c r="J44" s="23"/>
      <c r="K44" s="23"/>
      <c r="L44" s="23"/>
      <c r="M44" s="23"/>
      <c r="N44" s="23"/>
      <c r="O44" s="23"/>
      <c r="P44" s="28"/>
      <c r="R44" s="29"/>
    </row>
    <row r="45" spans="1:23" x14ac:dyDescent="0.2">
      <c r="B45" s="30"/>
      <c r="C45" s="31"/>
      <c r="D45" s="25"/>
      <c r="E45" s="25"/>
      <c r="F45" s="25"/>
      <c r="G45" s="25"/>
      <c r="H45" s="32"/>
      <c r="I45" s="23"/>
      <c r="J45" s="23"/>
      <c r="K45" s="23"/>
      <c r="L45" s="23"/>
      <c r="M45" s="23"/>
      <c r="N45" s="23"/>
      <c r="O45" s="23"/>
      <c r="P45" s="28"/>
      <c r="R45" s="29"/>
    </row>
    <row r="46" spans="1:23" x14ac:dyDescent="0.2">
      <c r="B46" s="30"/>
      <c r="C46" s="31"/>
      <c r="D46" s="25"/>
      <c r="E46" s="25"/>
      <c r="F46" s="25"/>
      <c r="G46" s="25"/>
      <c r="H46" s="32"/>
      <c r="I46" s="23"/>
      <c r="J46" s="23"/>
      <c r="K46" s="23"/>
      <c r="L46" s="23"/>
      <c r="M46" s="23"/>
      <c r="N46" s="23"/>
      <c r="O46" s="23"/>
      <c r="P46" s="28"/>
      <c r="R46" s="29"/>
    </row>
    <row r="47" spans="1:23" x14ac:dyDescent="0.2">
      <c r="B47" s="30"/>
      <c r="C47" s="31"/>
      <c r="D47" s="25"/>
      <c r="E47" s="25"/>
      <c r="F47" s="25"/>
      <c r="G47" s="25"/>
      <c r="H47" s="32"/>
      <c r="I47" s="23"/>
      <c r="J47" s="23"/>
      <c r="K47" s="23"/>
      <c r="L47" s="23"/>
      <c r="M47" s="23"/>
      <c r="N47" s="23"/>
      <c r="O47" s="23"/>
      <c r="P47" s="28"/>
      <c r="R47" s="29"/>
    </row>
    <row r="48" spans="1:23" x14ac:dyDescent="0.2">
      <c r="B48" s="30"/>
      <c r="C48" s="31"/>
      <c r="D48" s="25"/>
      <c r="E48" s="25"/>
      <c r="F48" s="25"/>
      <c r="G48" s="25"/>
      <c r="H48" s="32"/>
      <c r="I48" s="23"/>
      <c r="J48" s="23"/>
      <c r="K48" s="23"/>
      <c r="L48" s="23"/>
      <c r="M48" s="23"/>
      <c r="N48" s="23"/>
      <c r="O48" s="23"/>
      <c r="P48" s="28"/>
      <c r="R48" s="29"/>
    </row>
    <row r="49" spans="2:16" x14ac:dyDescent="0.2">
      <c r="B49" s="30"/>
      <c r="C49" s="31"/>
      <c r="H49" s="32"/>
      <c r="I49" s="23"/>
      <c r="J49" s="23"/>
      <c r="K49" s="23"/>
      <c r="L49" s="23"/>
      <c r="M49" s="23"/>
      <c r="N49" s="23"/>
      <c r="O49" s="23"/>
      <c r="P49" s="28"/>
    </row>
    <row r="50" spans="2:16" x14ac:dyDescent="0.2">
      <c r="B50" s="30"/>
      <c r="C50" s="31"/>
      <c r="H50" s="32"/>
      <c r="I50" s="23"/>
      <c r="J50" s="23"/>
      <c r="K50" s="23"/>
      <c r="L50" s="23"/>
      <c r="M50" s="23"/>
      <c r="N50" s="23"/>
      <c r="O50" s="23"/>
      <c r="P50" s="28"/>
    </row>
    <row r="51" spans="2:16" x14ac:dyDescent="0.2">
      <c r="B51" s="30"/>
      <c r="C51" s="31"/>
      <c r="H51" s="32"/>
      <c r="I51" s="23"/>
      <c r="J51" s="23"/>
      <c r="K51" s="23"/>
      <c r="L51" s="23"/>
      <c r="M51" s="23"/>
      <c r="N51" s="23"/>
      <c r="O51" s="23"/>
      <c r="P51" s="28"/>
    </row>
  </sheetData>
  <conditionalFormatting sqref="Q14:Q43">
    <cfRule type="cellIs" dxfId="11" priority="3" stopIfTrue="1" operator="greaterThan">
      <formula>$C$5</formula>
    </cfRule>
    <cfRule type="cellIs" dxfId="10" priority="4" stopIfTrue="1" operator="lessThan">
      <formula>$C$5</formula>
    </cfRule>
  </conditionalFormatting>
  <conditionalFormatting sqref="V14:V43">
    <cfRule type="cellIs" dxfId="9" priority="1" stopIfTrue="1" operator="greaterThan">
      <formula>$C$5</formula>
    </cfRule>
    <cfRule type="cellIs" dxfId="8" priority="2" stopIfTrue="1" operator="lessThan">
      <formula>$C$5</formula>
    </cfRule>
  </conditionalFormatting>
  <pageMargins left="0.75" right="0.75" top="1" bottom="1" header="0.51180555555555551" footer="0.51180555555555551"/>
  <pageSetup paperSize="9" scale="72" firstPageNumber="0" orientation="landscape" horizontalDpi="4294967293" verticalDpi="429496729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51"/>
  <sheetViews>
    <sheetView showGridLines="0" tabSelected="1" topLeftCell="A7" zoomScale="90" zoomScaleNormal="90" workbookViewId="0">
      <selection activeCell="W48" sqref="W48"/>
    </sheetView>
  </sheetViews>
  <sheetFormatPr defaultColWidth="11" defaultRowHeight="12.75" x14ac:dyDescent="0.2"/>
  <cols>
    <col min="1" max="1" width="3.25" style="51" customWidth="1"/>
    <col min="2" max="2" width="15" style="51" customWidth="1"/>
    <col min="3" max="3" width="11" style="51" customWidth="1"/>
    <col min="4" max="4" width="9.125" style="51" customWidth="1"/>
    <col min="5" max="5" width="11" style="51" customWidth="1"/>
    <col min="6" max="6" width="11.375" style="51" customWidth="1"/>
    <col min="7" max="7" width="8.5" style="51" customWidth="1"/>
    <col min="8" max="8" width="7.5" style="51" customWidth="1"/>
    <col min="9" max="9" width="9.375" style="51" customWidth="1"/>
    <col min="10" max="10" width="8.375" style="51" customWidth="1"/>
    <col min="11" max="11" width="9.125" style="51" bestFit="1" customWidth="1"/>
    <col min="12" max="12" width="6.25" style="51" bestFit="1" customWidth="1"/>
    <col min="13" max="13" width="1.875" style="51" customWidth="1"/>
    <col min="14" max="14" width="8.875" style="51" customWidth="1"/>
    <col min="15" max="15" width="9.75" style="51" customWidth="1"/>
    <col min="16" max="16" width="11.5" style="51" customWidth="1"/>
    <col min="17" max="17" width="12.125" style="51" customWidth="1"/>
    <col min="18" max="18" width="8.375" style="51" customWidth="1"/>
    <col min="19" max="19" width="10.875" style="51" customWidth="1"/>
    <col min="20" max="20" width="11.75" style="51" customWidth="1"/>
    <col min="21" max="21" width="7.125" style="51" customWidth="1"/>
    <col min="22" max="22" width="2.5" style="51" customWidth="1"/>
    <col min="23" max="25" width="11.75" style="51" customWidth="1"/>
    <col min="26" max="26" width="11.25" style="51" customWidth="1"/>
    <col min="27" max="27" width="13.5" style="51" customWidth="1"/>
    <col min="28" max="28" width="12.25" style="51" customWidth="1"/>
    <col min="29" max="16384" width="11" style="51"/>
  </cols>
  <sheetData>
    <row r="1" spans="1:28" ht="18.75" x14ac:dyDescent="0.3">
      <c r="A1" s="49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28" ht="15" x14ac:dyDescent="0.25">
      <c r="A2" s="51" t="s">
        <v>42</v>
      </c>
      <c r="B2" s="52"/>
      <c r="C2" s="53">
        <v>850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8" ht="15" x14ac:dyDescent="0.25">
      <c r="C3" s="53"/>
      <c r="L3" s="54"/>
    </row>
    <row r="4" spans="1:28" ht="15" x14ac:dyDescent="0.25">
      <c r="A4" s="51" t="s">
        <v>43</v>
      </c>
      <c r="B4" s="55"/>
      <c r="C4" s="53">
        <v>322</v>
      </c>
      <c r="E4" s="56" t="s">
        <v>44</v>
      </c>
      <c r="F4" s="56"/>
      <c r="G4" s="57"/>
      <c r="H4" s="58"/>
      <c r="I4" s="58"/>
      <c r="J4" s="58"/>
      <c r="K4" s="58"/>
      <c r="L4" s="57"/>
      <c r="M4" s="58"/>
      <c r="N4" s="58"/>
      <c r="O4" s="58"/>
      <c r="R4" s="59"/>
      <c r="S4" s="59"/>
      <c r="T4" s="59"/>
      <c r="U4" s="59"/>
      <c r="V4" s="59"/>
      <c r="W4" s="59"/>
      <c r="X4" s="59"/>
      <c r="Y4" s="59"/>
      <c r="Z4" s="59"/>
      <c r="AA4" s="59"/>
      <c r="AB4" s="60"/>
    </row>
    <row r="5" spans="1:28" x14ac:dyDescent="0.2">
      <c r="A5" s="51" t="s">
        <v>45</v>
      </c>
      <c r="B5" s="61"/>
      <c r="C5" s="62">
        <f>C2*C7</f>
        <v>8500</v>
      </c>
      <c r="D5" s="63"/>
      <c r="E5" s="64" t="s">
        <v>46</v>
      </c>
      <c r="F5" s="64"/>
      <c r="G5" s="65"/>
      <c r="H5" s="65"/>
      <c r="I5" s="65"/>
      <c r="J5" s="65"/>
      <c r="K5" s="65"/>
      <c r="L5" s="65"/>
      <c r="M5" s="65"/>
      <c r="N5" s="65"/>
      <c r="O5" s="65"/>
      <c r="R5" s="66"/>
      <c r="S5" s="66"/>
      <c r="T5" s="66"/>
      <c r="U5" s="66"/>
      <c r="V5" s="66"/>
      <c r="W5" s="66"/>
      <c r="X5" s="66"/>
      <c r="Y5" s="66"/>
      <c r="Z5" s="66"/>
      <c r="AA5" s="66"/>
      <c r="AB5" s="60"/>
    </row>
    <row r="6" spans="1:28" x14ac:dyDescent="0.2">
      <c r="A6" s="51" t="s">
        <v>47</v>
      </c>
      <c r="C6" s="67">
        <f>C2*C7-C7*C4</f>
        <v>5280</v>
      </c>
      <c r="E6" s="51" t="s">
        <v>48</v>
      </c>
      <c r="L6" s="54"/>
    </row>
    <row r="7" spans="1:28" x14ac:dyDescent="0.2">
      <c r="B7" s="55" t="s">
        <v>49</v>
      </c>
      <c r="C7" s="68">
        <v>10</v>
      </c>
      <c r="E7" s="51" t="s">
        <v>50</v>
      </c>
      <c r="L7" s="54"/>
    </row>
    <row r="8" spans="1:28" x14ac:dyDescent="0.2">
      <c r="B8" s="55" t="s">
        <v>84</v>
      </c>
      <c r="C8" s="51">
        <v>1</v>
      </c>
      <c r="E8" s="51" t="s">
        <v>51</v>
      </c>
      <c r="L8" s="54"/>
    </row>
    <row r="9" spans="1:28" x14ac:dyDescent="0.2">
      <c r="B9" s="55" t="s">
        <v>10</v>
      </c>
      <c r="C9" s="56">
        <v>990</v>
      </c>
      <c r="E9" s="69"/>
      <c r="F9" s="60"/>
      <c r="G9" s="60"/>
      <c r="H9" s="60"/>
      <c r="I9" s="60"/>
      <c r="J9" s="60"/>
    </row>
    <row r="10" spans="1:28" x14ac:dyDescent="0.2">
      <c r="B10" s="55" t="s">
        <v>11</v>
      </c>
      <c r="C10" s="56">
        <v>1</v>
      </c>
      <c r="T10" s="62"/>
      <c r="Z10" s="51">
        <f>N10*0.21</f>
        <v>0</v>
      </c>
      <c r="AA10" s="51">
        <f>Z10+N10</f>
        <v>0</v>
      </c>
    </row>
    <row r="11" spans="1:28" ht="95.25" customHeight="1" x14ac:dyDescent="0.25">
      <c r="B11" s="55" t="s">
        <v>52</v>
      </c>
      <c r="C11" s="70">
        <f>C7*C8*C9*C10</f>
        <v>9900</v>
      </c>
      <c r="F11" s="71" t="s">
        <v>53</v>
      </c>
      <c r="G11" s="71" t="s">
        <v>54</v>
      </c>
      <c r="K11" s="71" t="s">
        <v>55</v>
      </c>
      <c r="L11" s="71"/>
      <c r="M11" s="71"/>
      <c r="N11" s="72" t="s">
        <v>83</v>
      </c>
      <c r="O11" s="73"/>
      <c r="P11" s="74" t="s">
        <v>76</v>
      </c>
      <c r="Q11" s="75"/>
      <c r="R11" s="71" t="s">
        <v>16</v>
      </c>
      <c r="S11" s="76" t="s">
        <v>77</v>
      </c>
      <c r="T11" s="77"/>
      <c r="U11" s="71"/>
      <c r="V11" s="71"/>
      <c r="W11" s="78" t="s">
        <v>17</v>
      </c>
      <c r="X11" s="79"/>
      <c r="Y11" s="79"/>
      <c r="Z11" s="76" t="s">
        <v>78</v>
      </c>
      <c r="AA11" s="77"/>
    </row>
    <row r="12" spans="1:28" x14ac:dyDescent="0.2">
      <c r="B12" s="55"/>
      <c r="F12" s="80">
        <v>0.03</v>
      </c>
      <c r="G12" s="81">
        <v>0.3</v>
      </c>
      <c r="K12" s="80">
        <v>0.02</v>
      </c>
      <c r="L12" s="80"/>
      <c r="M12" s="82"/>
      <c r="N12" s="83"/>
      <c r="O12" s="84"/>
      <c r="P12" s="85"/>
      <c r="Q12" s="86"/>
      <c r="R12" s="82">
        <v>5.0999999999999996</v>
      </c>
      <c r="S12" s="87"/>
      <c r="T12" s="88"/>
      <c r="U12" s="89"/>
      <c r="V12" s="89"/>
      <c r="W12" s="90">
        <v>0.36</v>
      </c>
      <c r="X12" s="52"/>
      <c r="Y12" s="52"/>
      <c r="Z12" s="91"/>
      <c r="AA12" s="92"/>
    </row>
    <row r="13" spans="1:28" s="107" customFormat="1" ht="109.5" customHeight="1" x14ac:dyDescent="0.25">
      <c r="A13" s="71" t="s">
        <v>56</v>
      </c>
      <c r="B13" s="93" t="s">
        <v>57</v>
      </c>
      <c r="C13" s="93" t="s">
        <v>58</v>
      </c>
      <c r="D13" s="94" t="s">
        <v>59</v>
      </c>
      <c r="E13" s="94" t="s">
        <v>60</v>
      </c>
      <c r="F13" s="131" t="s">
        <v>61</v>
      </c>
      <c r="G13" s="95" t="s">
        <v>62</v>
      </c>
      <c r="H13" s="95" t="s">
        <v>63</v>
      </c>
      <c r="I13" s="96" t="s">
        <v>64</v>
      </c>
      <c r="J13" s="96" t="s">
        <v>65</v>
      </c>
      <c r="K13" s="95" t="s">
        <v>66</v>
      </c>
      <c r="L13" s="95" t="s">
        <v>67</v>
      </c>
      <c r="M13" s="95"/>
      <c r="N13" s="97" t="s">
        <v>68</v>
      </c>
      <c r="O13" s="98" t="s">
        <v>75</v>
      </c>
      <c r="P13" s="99" t="s">
        <v>69</v>
      </c>
      <c r="Q13" s="100" t="s">
        <v>70</v>
      </c>
      <c r="R13" s="95" t="s">
        <v>30</v>
      </c>
      <c r="S13" s="101" t="s">
        <v>71</v>
      </c>
      <c r="T13" s="102" t="s">
        <v>72</v>
      </c>
      <c r="U13" s="103" t="s">
        <v>56</v>
      </c>
      <c r="V13" s="103"/>
      <c r="W13" s="104" t="s">
        <v>31</v>
      </c>
      <c r="X13" s="96" t="s">
        <v>73</v>
      </c>
      <c r="Y13" s="96" t="s">
        <v>74</v>
      </c>
      <c r="Z13" s="105" t="s">
        <v>71</v>
      </c>
      <c r="AA13" s="106" t="s">
        <v>72</v>
      </c>
      <c r="AB13" s="103" t="s">
        <v>56</v>
      </c>
    </row>
    <row r="14" spans="1:28" ht="15" x14ac:dyDescent="0.25">
      <c r="A14" s="51">
        <v>1</v>
      </c>
      <c r="B14" s="129">
        <f>C11</f>
        <v>9900</v>
      </c>
      <c r="C14" s="109">
        <v>1</v>
      </c>
      <c r="D14" s="110">
        <f ca="1">RANDBETWEEN(-20,20)/100</f>
        <v>0.19</v>
      </c>
      <c r="E14" s="111">
        <f ca="1">B14+B14*D14</f>
        <v>11781</v>
      </c>
      <c r="F14" s="112">
        <f>10*365</f>
        <v>3650</v>
      </c>
      <c r="G14" s="108">
        <f ca="1">E14*G$12</f>
        <v>3534.2999999999997</v>
      </c>
      <c r="H14" s="113">
        <f t="shared" ref="H14:H43" ca="1" si="0">IF(E14&gt;F14,F14-G14,E14-G14)</f>
        <v>115.70000000000027</v>
      </c>
      <c r="I14" s="70">
        <f t="shared" ref="I14:I43" ca="1" si="1">E14-F14</f>
        <v>8131</v>
      </c>
      <c r="J14" s="70">
        <f t="shared" ref="J14:J43" ca="1" si="2">IF(I14&lt;0,I14*$L14/100,0)</f>
        <v>0</v>
      </c>
      <c r="K14" s="114">
        <v>13</v>
      </c>
      <c r="L14" s="114">
        <v>15</v>
      </c>
      <c r="M14" s="114"/>
      <c r="N14" s="115">
        <f t="shared" ref="N14:N43" si="3">K14*F14/100</f>
        <v>474.5</v>
      </c>
      <c r="O14" s="116">
        <f>N14</f>
        <v>474.5</v>
      </c>
      <c r="P14" s="117">
        <f t="shared" ref="P14:P43" si="4">L14*B14/100</f>
        <v>1485</v>
      </c>
      <c r="Q14" s="118">
        <f>B14*L14/100</f>
        <v>1485</v>
      </c>
      <c r="R14" s="108">
        <f t="shared" ref="R14:R43" ca="1" si="5">(IF(E14&gt;F14,F14,E14)-G14)*R$12/100</f>
        <v>5.9007000000000129</v>
      </c>
      <c r="S14" s="115">
        <f t="shared" ref="S14:S43" ca="1" si="6">N14-R14+J14</f>
        <v>468.59929999999997</v>
      </c>
      <c r="T14" s="116">
        <f ca="1">S14</f>
        <v>468.59929999999997</v>
      </c>
      <c r="U14" s="119">
        <v>1</v>
      </c>
      <c r="V14" s="119"/>
      <c r="W14" s="115">
        <f t="shared" ref="W14:W43" ca="1" si="7">(IF(E14&gt;F14,F14,E14)-G14)*$W$12</f>
        <v>41.652000000000093</v>
      </c>
      <c r="X14" s="120">
        <f t="shared" ref="X14:X43" ca="1" si="8">E14-W14-F14</f>
        <v>8089.348</v>
      </c>
      <c r="Y14" s="120">
        <f ca="1">IF(X14&lt;0,X14*$L14/100,0)</f>
        <v>0</v>
      </c>
      <c r="Z14" s="115">
        <f ca="1">N14+Y14</f>
        <v>474.5</v>
      </c>
      <c r="AA14" s="116">
        <f ca="1">Z14</f>
        <v>474.5</v>
      </c>
      <c r="AB14" s="119">
        <v>1</v>
      </c>
    </row>
    <row r="15" spans="1:28" ht="15" x14ac:dyDescent="0.25">
      <c r="A15" s="51">
        <v>2</v>
      </c>
      <c r="B15" s="130">
        <f>B14</f>
        <v>9900</v>
      </c>
      <c r="C15" s="122">
        <f>B15/B$14</f>
        <v>1</v>
      </c>
      <c r="D15" s="110">
        <f ca="1">RANDBETWEEN(-20,20)/100</f>
        <v>7.0000000000000007E-2</v>
      </c>
      <c r="E15" s="111">
        <f ca="1">B15+B15*D15</f>
        <v>10593</v>
      </c>
      <c r="F15" s="112">
        <f>F14+(F14*F$12)</f>
        <v>3759.5</v>
      </c>
      <c r="G15" s="108">
        <f t="shared" ref="G15:G43" ca="1" si="9">E15*G$12</f>
        <v>3177.9</v>
      </c>
      <c r="H15" s="113">
        <f t="shared" ca="1" si="0"/>
        <v>581.59999999999991</v>
      </c>
      <c r="I15" s="70">
        <f t="shared" ca="1" si="1"/>
        <v>6833.5</v>
      </c>
      <c r="J15" s="70">
        <f t="shared" ca="1" si="2"/>
        <v>0</v>
      </c>
      <c r="K15" s="108">
        <f>K14+(K14*K$12)</f>
        <v>13.26</v>
      </c>
      <c r="L15" s="108">
        <f>L14+(L14*K$12)</f>
        <v>15.3</v>
      </c>
      <c r="M15" s="108"/>
      <c r="N15" s="115">
        <f t="shared" si="3"/>
        <v>498.50970000000001</v>
      </c>
      <c r="O15" s="116">
        <f>+N15+O14</f>
        <v>973.00970000000007</v>
      </c>
      <c r="P15" s="117">
        <f t="shared" si="4"/>
        <v>1514.7</v>
      </c>
      <c r="Q15" s="118">
        <f>P15+Q14</f>
        <v>2999.7</v>
      </c>
      <c r="R15" s="108">
        <f t="shared" ca="1" si="5"/>
        <v>29.661599999999993</v>
      </c>
      <c r="S15" s="115">
        <f t="shared" ca="1" si="6"/>
        <v>468.84810000000004</v>
      </c>
      <c r="T15" s="116">
        <f ca="1">T14+S15</f>
        <v>937.44740000000002</v>
      </c>
      <c r="U15" s="119">
        <v>2</v>
      </c>
      <c r="V15" s="119"/>
      <c r="W15" s="115">
        <f t="shared" ca="1" si="7"/>
        <v>209.37599999999995</v>
      </c>
      <c r="X15" s="120">
        <f t="shared" ca="1" si="8"/>
        <v>6624.1239999999998</v>
      </c>
      <c r="Y15" s="120">
        <f t="shared" ref="Y15:Y43" ca="1" si="10">IF(X15&lt;0,X15*$L15/100,0)</f>
        <v>0</v>
      </c>
      <c r="Z15" s="115">
        <f t="shared" ref="Z15:Z43" ca="1" si="11">N15+Y15</f>
        <v>498.50970000000001</v>
      </c>
      <c r="AA15" s="116">
        <f ca="1">AA14+Z15</f>
        <v>973.00970000000007</v>
      </c>
      <c r="AB15" s="119">
        <v>2</v>
      </c>
    </row>
    <row r="16" spans="1:28" ht="15" x14ac:dyDescent="0.25">
      <c r="A16" s="51">
        <v>3</v>
      </c>
      <c r="B16" s="130">
        <f>B15</f>
        <v>9900</v>
      </c>
      <c r="C16" s="122">
        <f t="shared" ref="C16:C43" si="12">B16/B$14</f>
        <v>1</v>
      </c>
      <c r="D16" s="110">
        <f t="shared" ref="D16:D43" ca="1" si="13">RANDBETWEEN(-20,20)/100</f>
        <v>0.15</v>
      </c>
      <c r="E16" s="111">
        <f t="shared" ref="E16:E43" ca="1" si="14">B16+B16*D16</f>
        <v>11385</v>
      </c>
      <c r="F16" s="112">
        <f t="shared" ref="F16:F43" si="15">F15+(F15*F$12)</f>
        <v>3872.2849999999999</v>
      </c>
      <c r="G16" s="108">
        <f t="shared" ca="1" si="9"/>
        <v>3415.5</v>
      </c>
      <c r="H16" s="113">
        <f t="shared" ca="1" si="0"/>
        <v>456.78499999999985</v>
      </c>
      <c r="I16" s="70">
        <f t="shared" ca="1" si="1"/>
        <v>7512.7150000000001</v>
      </c>
      <c r="J16" s="70">
        <f t="shared" ca="1" si="2"/>
        <v>0</v>
      </c>
      <c r="K16" s="108">
        <f t="shared" ref="K16:K38" si="16">K15+(K15*K$12)</f>
        <v>13.5252</v>
      </c>
      <c r="L16" s="108">
        <f t="shared" ref="L16:L43" si="17">L15+(L15*K$12)</f>
        <v>15.606</v>
      </c>
      <c r="M16" s="108"/>
      <c r="N16" s="115">
        <f t="shared" si="3"/>
        <v>523.73429081999996</v>
      </c>
      <c r="O16" s="116">
        <f t="shared" ref="O16:O43" si="18">+N16+O15</f>
        <v>1496.7439908199999</v>
      </c>
      <c r="P16" s="117">
        <f t="shared" si="4"/>
        <v>1544.9939999999999</v>
      </c>
      <c r="Q16" s="118">
        <f t="shared" ref="Q16:Q43" si="19">P16+Q15</f>
        <v>4544.6939999999995</v>
      </c>
      <c r="R16" s="108">
        <f t="shared" ca="1" si="5"/>
        <v>23.296034999999993</v>
      </c>
      <c r="S16" s="115">
        <f t="shared" ca="1" si="6"/>
        <v>500.43825581999994</v>
      </c>
      <c r="T16" s="116">
        <f t="shared" ref="T16:T38" ca="1" si="20">T15+S16</f>
        <v>1437.88565582</v>
      </c>
      <c r="U16" s="119">
        <v>3</v>
      </c>
      <c r="V16" s="119"/>
      <c r="W16" s="115">
        <f t="shared" ca="1" si="7"/>
        <v>164.44259999999994</v>
      </c>
      <c r="X16" s="120">
        <f t="shared" ca="1" si="8"/>
        <v>7348.2723999999998</v>
      </c>
      <c r="Y16" s="120">
        <f t="shared" ca="1" si="10"/>
        <v>0</v>
      </c>
      <c r="Z16" s="115">
        <f t="shared" ca="1" si="11"/>
        <v>523.73429081999996</v>
      </c>
      <c r="AA16" s="116">
        <f t="shared" ref="AA16:AA38" ca="1" si="21">AA15+Z16</f>
        <v>1496.7439908199999</v>
      </c>
      <c r="AB16" s="119">
        <v>3</v>
      </c>
    </row>
    <row r="17" spans="1:28" ht="15" x14ac:dyDescent="0.25">
      <c r="A17" s="51">
        <v>4</v>
      </c>
      <c r="B17" s="130">
        <f t="shared" ref="B17:B38" si="22">B16-(1%*B16)</f>
        <v>9801</v>
      </c>
      <c r="C17" s="122">
        <f t="shared" si="12"/>
        <v>0.99</v>
      </c>
      <c r="D17" s="110">
        <f t="shared" ca="1" si="13"/>
        <v>0.16</v>
      </c>
      <c r="E17" s="111">
        <f t="shared" ca="1" si="14"/>
        <v>11369.16</v>
      </c>
      <c r="F17" s="112">
        <f>F16+(F16*F$12)</f>
        <v>3988.4535499999997</v>
      </c>
      <c r="G17" s="108">
        <f t="shared" ca="1" si="9"/>
        <v>3410.748</v>
      </c>
      <c r="H17" s="113">
        <f t="shared" ca="1" si="0"/>
        <v>577.70554999999968</v>
      </c>
      <c r="I17" s="70">
        <f t="shared" ca="1" si="1"/>
        <v>7380.7064499999997</v>
      </c>
      <c r="J17" s="70">
        <f t="shared" ca="1" si="2"/>
        <v>0</v>
      </c>
      <c r="K17" s="108">
        <f t="shared" si="16"/>
        <v>13.795704000000001</v>
      </c>
      <c r="L17" s="108">
        <f t="shared" si="17"/>
        <v>15.91812</v>
      </c>
      <c r="M17" s="108"/>
      <c r="N17" s="115">
        <f t="shared" si="3"/>
        <v>550.235245935492</v>
      </c>
      <c r="O17" s="116">
        <f t="shared" si="18"/>
        <v>2046.9792367554919</v>
      </c>
      <c r="P17" s="117">
        <f t="shared" si="4"/>
        <v>1560.1349412</v>
      </c>
      <c r="Q17" s="118">
        <f t="shared" si="19"/>
        <v>6104.8289411999995</v>
      </c>
      <c r="R17" s="108">
        <f t="shared" ca="1" si="5"/>
        <v>29.462983049999981</v>
      </c>
      <c r="S17" s="115">
        <f t="shared" ca="1" si="6"/>
        <v>520.77226288549207</v>
      </c>
      <c r="T17" s="116">
        <f t="shared" ca="1" si="20"/>
        <v>1958.6579187054922</v>
      </c>
      <c r="U17" s="119">
        <v>4</v>
      </c>
      <c r="V17" s="119"/>
      <c r="W17" s="115">
        <f t="shared" ca="1" si="7"/>
        <v>207.97399799999988</v>
      </c>
      <c r="X17" s="120">
        <f t="shared" ca="1" si="8"/>
        <v>7172.7324520000002</v>
      </c>
      <c r="Y17" s="120">
        <f t="shared" ca="1" si="10"/>
        <v>0</v>
      </c>
      <c r="Z17" s="115">
        <f t="shared" ca="1" si="11"/>
        <v>550.235245935492</v>
      </c>
      <c r="AA17" s="116">
        <f t="shared" ca="1" si="21"/>
        <v>2046.9792367554919</v>
      </c>
      <c r="AB17" s="119">
        <v>4</v>
      </c>
    </row>
    <row r="18" spans="1:28" ht="15" x14ac:dyDescent="0.25">
      <c r="A18" s="51">
        <v>5</v>
      </c>
      <c r="B18" s="130">
        <f t="shared" si="22"/>
        <v>9702.99</v>
      </c>
      <c r="C18" s="122">
        <f t="shared" si="12"/>
        <v>0.98009999999999997</v>
      </c>
      <c r="D18" s="110">
        <f t="shared" ca="1" si="13"/>
        <v>0.05</v>
      </c>
      <c r="E18" s="111">
        <f t="shared" ca="1" si="14"/>
        <v>10188.139499999999</v>
      </c>
      <c r="F18" s="112">
        <f t="shared" si="15"/>
        <v>4108.1071564999993</v>
      </c>
      <c r="G18" s="108">
        <f t="shared" ca="1" si="9"/>
        <v>3056.4418499999997</v>
      </c>
      <c r="H18" s="113">
        <f t="shared" ca="1" si="0"/>
        <v>1051.6653064999996</v>
      </c>
      <c r="I18" s="70">
        <f t="shared" ca="1" si="1"/>
        <v>6080.0323435</v>
      </c>
      <c r="J18" s="70">
        <f t="shared" ca="1" si="2"/>
        <v>0</v>
      </c>
      <c r="K18" s="108">
        <f t="shared" si="16"/>
        <v>14.07161808</v>
      </c>
      <c r="L18" s="108">
        <f t="shared" si="17"/>
        <v>16.2364824</v>
      </c>
      <c r="M18" s="108"/>
      <c r="N18" s="115">
        <f t="shared" si="3"/>
        <v>578.0771493798278</v>
      </c>
      <c r="O18" s="116">
        <f t="shared" si="18"/>
        <v>2625.0563861353198</v>
      </c>
      <c r="P18" s="117">
        <f t="shared" si="4"/>
        <v>1575.42426362376</v>
      </c>
      <c r="Q18" s="118">
        <f t="shared" si="19"/>
        <v>7680.253204823759</v>
      </c>
      <c r="R18" s="108">
        <f t="shared" ca="1" si="5"/>
        <v>53.634930631499977</v>
      </c>
      <c r="S18" s="115">
        <f t="shared" ca="1" si="6"/>
        <v>524.44221874832783</v>
      </c>
      <c r="T18" s="116">
        <f t="shared" ca="1" si="20"/>
        <v>2483.10013745382</v>
      </c>
      <c r="U18" s="119">
        <v>5</v>
      </c>
      <c r="V18" s="119"/>
      <c r="W18" s="115">
        <f t="shared" ca="1" si="7"/>
        <v>378.59951033999982</v>
      </c>
      <c r="X18" s="120">
        <f t="shared" ca="1" si="8"/>
        <v>5701.43283316</v>
      </c>
      <c r="Y18" s="120">
        <f t="shared" ca="1" si="10"/>
        <v>0</v>
      </c>
      <c r="Z18" s="115">
        <f t="shared" ca="1" si="11"/>
        <v>578.0771493798278</v>
      </c>
      <c r="AA18" s="116">
        <f t="shared" ca="1" si="21"/>
        <v>2625.0563861353198</v>
      </c>
      <c r="AB18" s="119">
        <v>5</v>
      </c>
    </row>
    <row r="19" spans="1:28" ht="15" x14ac:dyDescent="0.25">
      <c r="A19" s="51">
        <v>6</v>
      </c>
      <c r="B19" s="130">
        <f t="shared" si="22"/>
        <v>9605.9601000000002</v>
      </c>
      <c r="C19" s="122">
        <f t="shared" si="12"/>
        <v>0.97029900000000002</v>
      </c>
      <c r="D19" s="110">
        <f t="shared" ca="1" si="13"/>
        <v>-0.13</v>
      </c>
      <c r="E19" s="111">
        <f t="shared" ca="1" si="14"/>
        <v>8357.1852870000002</v>
      </c>
      <c r="F19" s="112">
        <f t="shared" si="15"/>
        <v>4231.3503711949988</v>
      </c>
      <c r="G19" s="108">
        <f t="shared" ca="1" si="9"/>
        <v>2507.1555861000002</v>
      </c>
      <c r="H19" s="113">
        <f t="shared" ca="1" si="0"/>
        <v>1724.1947850949987</v>
      </c>
      <c r="I19" s="70">
        <f t="shared" ca="1" si="1"/>
        <v>4125.8349158050014</v>
      </c>
      <c r="J19" s="70">
        <f t="shared" ca="1" si="2"/>
        <v>0</v>
      </c>
      <c r="K19" s="108">
        <f t="shared" si="16"/>
        <v>14.353050441600001</v>
      </c>
      <c r="L19" s="108">
        <f t="shared" si="17"/>
        <v>16.561212048000002</v>
      </c>
      <c r="M19" s="108"/>
      <c r="N19" s="115">
        <f t="shared" si="3"/>
        <v>607.32785313844704</v>
      </c>
      <c r="O19" s="116">
        <f t="shared" si="18"/>
        <v>3232.384239273767</v>
      </c>
      <c r="P19" s="117">
        <f t="shared" si="4"/>
        <v>1590.8634214072729</v>
      </c>
      <c r="Q19" s="118">
        <f t="shared" si="19"/>
        <v>9271.1166262310326</v>
      </c>
      <c r="R19" s="108">
        <f t="shared" ca="1" si="5"/>
        <v>87.933934039844928</v>
      </c>
      <c r="S19" s="115">
        <f t="shared" ca="1" si="6"/>
        <v>519.39391909860205</v>
      </c>
      <c r="T19" s="116">
        <f t="shared" ca="1" si="20"/>
        <v>3002.4940565524221</v>
      </c>
      <c r="U19" s="119">
        <v>6</v>
      </c>
      <c r="V19" s="119"/>
      <c r="W19" s="115">
        <f t="shared" ca="1" si="7"/>
        <v>620.71012263419948</v>
      </c>
      <c r="X19" s="120">
        <f t="shared" ca="1" si="8"/>
        <v>3505.1247931708021</v>
      </c>
      <c r="Y19" s="120">
        <f t="shared" ca="1" si="10"/>
        <v>0</v>
      </c>
      <c r="Z19" s="115">
        <f t="shared" ca="1" si="11"/>
        <v>607.32785313844704</v>
      </c>
      <c r="AA19" s="116">
        <f t="shared" ca="1" si="21"/>
        <v>3232.384239273767</v>
      </c>
      <c r="AB19" s="119">
        <v>6</v>
      </c>
    </row>
    <row r="20" spans="1:28" ht="15" x14ac:dyDescent="0.25">
      <c r="A20" s="51">
        <v>7</v>
      </c>
      <c r="B20" s="130">
        <f t="shared" si="22"/>
        <v>9509.9004989999994</v>
      </c>
      <c r="C20" s="122">
        <f t="shared" si="12"/>
        <v>0.96059600999999994</v>
      </c>
      <c r="D20" s="110">
        <f t="shared" ca="1" si="13"/>
        <v>-0.18</v>
      </c>
      <c r="E20" s="111">
        <f t="shared" ca="1" si="14"/>
        <v>7798.1184091799996</v>
      </c>
      <c r="F20" s="112">
        <f t="shared" si="15"/>
        <v>4358.2908823308489</v>
      </c>
      <c r="G20" s="108">
        <f t="shared" ca="1" si="9"/>
        <v>2339.435522754</v>
      </c>
      <c r="H20" s="113">
        <f t="shared" ca="1" si="0"/>
        <v>2018.855359576849</v>
      </c>
      <c r="I20" s="70">
        <f t="shared" ca="1" si="1"/>
        <v>3439.8275268491507</v>
      </c>
      <c r="J20" s="70">
        <f t="shared" ca="1" si="2"/>
        <v>0</v>
      </c>
      <c r="K20" s="108">
        <f t="shared" si="16"/>
        <v>14.640111450432</v>
      </c>
      <c r="L20" s="108">
        <f t="shared" si="17"/>
        <v>16.892436288960003</v>
      </c>
      <c r="M20" s="108"/>
      <c r="N20" s="115">
        <f t="shared" si="3"/>
        <v>638.05864250725244</v>
      </c>
      <c r="O20" s="116">
        <f t="shared" si="18"/>
        <v>3870.4428817810194</v>
      </c>
      <c r="P20" s="117">
        <f t="shared" si="4"/>
        <v>1606.4538829370642</v>
      </c>
      <c r="Q20" s="118">
        <f t="shared" si="19"/>
        <v>10877.570509168097</v>
      </c>
      <c r="R20" s="108">
        <f t="shared" ca="1" si="5"/>
        <v>102.96162333841929</v>
      </c>
      <c r="S20" s="115">
        <f t="shared" ca="1" si="6"/>
        <v>535.09701916883319</v>
      </c>
      <c r="T20" s="116">
        <f t="shared" ca="1" si="20"/>
        <v>3537.591075721255</v>
      </c>
      <c r="U20" s="119">
        <v>7</v>
      </c>
      <c r="V20" s="119"/>
      <c r="W20" s="115">
        <f t="shared" ca="1" si="7"/>
        <v>726.78792944766565</v>
      </c>
      <c r="X20" s="120">
        <f t="shared" ca="1" si="8"/>
        <v>2713.0395974014855</v>
      </c>
      <c r="Y20" s="120">
        <f t="shared" ca="1" si="10"/>
        <v>0</v>
      </c>
      <c r="Z20" s="115">
        <f t="shared" ca="1" si="11"/>
        <v>638.05864250725244</v>
      </c>
      <c r="AA20" s="116">
        <f t="shared" ca="1" si="21"/>
        <v>3870.4428817810194</v>
      </c>
      <c r="AB20" s="119">
        <v>7</v>
      </c>
    </row>
    <row r="21" spans="1:28" ht="15" x14ac:dyDescent="0.25">
      <c r="A21" s="51">
        <v>8</v>
      </c>
      <c r="B21" s="130">
        <f t="shared" si="22"/>
        <v>9414.8014940100002</v>
      </c>
      <c r="C21" s="122">
        <f t="shared" si="12"/>
        <v>0.95099004990000002</v>
      </c>
      <c r="D21" s="110">
        <f t="shared" ca="1" si="13"/>
        <v>-0.05</v>
      </c>
      <c r="E21" s="111">
        <f t="shared" ca="1" si="14"/>
        <v>8944.0614193095007</v>
      </c>
      <c r="F21" s="112">
        <f t="shared" si="15"/>
        <v>4489.0396088007747</v>
      </c>
      <c r="G21" s="108">
        <f t="shared" ca="1" si="9"/>
        <v>2683.2184257928502</v>
      </c>
      <c r="H21" s="113">
        <f t="shared" ca="1" si="0"/>
        <v>1805.8211830079244</v>
      </c>
      <c r="I21" s="70">
        <f t="shared" ca="1" si="1"/>
        <v>4455.021810508726</v>
      </c>
      <c r="J21" s="70">
        <f t="shared" ca="1" si="2"/>
        <v>0</v>
      </c>
      <c r="K21" s="108">
        <f t="shared" si="16"/>
        <v>14.93291367944064</v>
      </c>
      <c r="L21" s="108">
        <f t="shared" si="17"/>
        <v>17.230285014739202</v>
      </c>
      <c r="M21" s="108"/>
      <c r="N21" s="115">
        <f t="shared" si="3"/>
        <v>670.3444098181194</v>
      </c>
      <c r="O21" s="116">
        <f t="shared" si="18"/>
        <v>4540.7872915991393</v>
      </c>
      <c r="P21" s="117">
        <f t="shared" si="4"/>
        <v>1622.1971309898477</v>
      </c>
      <c r="Q21" s="118">
        <f t="shared" si="19"/>
        <v>12499.767640157945</v>
      </c>
      <c r="R21" s="108">
        <f t="shared" ca="1" si="5"/>
        <v>92.09688033340413</v>
      </c>
      <c r="S21" s="115">
        <f t="shared" ca="1" si="6"/>
        <v>578.2475294847153</v>
      </c>
      <c r="T21" s="116">
        <f t="shared" ca="1" si="20"/>
        <v>4115.8386052059705</v>
      </c>
      <c r="U21" s="119">
        <v>8</v>
      </c>
      <c r="V21" s="119"/>
      <c r="W21" s="115">
        <f t="shared" ca="1" si="7"/>
        <v>650.0956258828528</v>
      </c>
      <c r="X21" s="120">
        <f t="shared" ca="1" si="8"/>
        <v>3804.9261846258723</v>
      </c>
      <c r="Y21" s="120">
        <f t="shared" ca="1" si="10"/>
        <v>0</v>
      </c>
      <c r="Z21" s="115">
        <f t="shared" ca="1" si="11"/>
        <v>670.3444098181194</v>
      </c>
      <c r="AA21" s="116">
        <f t="shared" ca="1" si="21"/>
        <v>4540.7872915991393</v>
      </c>
      <c r="AB21" s="119">
        <v>8</v>
      </c>
    </row>
    <row r="22" spans="1:28" ht="15" x14ac:dyDescent="0.25">
      <c r="A22" s="51">
        <v>9</v>
      </c>
      <c r="B22" s="130">
        <f t="shared" si="22"/>
        <v>9320.6534790699006</v>
      </c>
      <c r="C22" s="122">
        <f t="shared" si="12"/>
        <v>0.94148014940100011</v>
      </c>
      <c r="D22" s="110">
        <f t="shared" ca="1" si="13"/>
        <v>-0.08</v>
      </c>
      <c r="E22" s="111">
        <f t="shared" ca="1" si="14"/>
        <v>8575.0012007443092</v>
      </c>
      <c r="F22" s="112">
        <f t="shared" si="15"/>
        <v>4623.7107970647976</v>
      </c>
      <c r="G22" s="108">
        <f t="shared" ca="1" si="9"/>
        <v>2572.5003602232928</v>
      </c>
      <c r="H22" s="113">
        <f t="shared" ca="1" si="0"/>
        <v>2051.2104368415048</v>
      </c>
      <c r="I22" s="70">
        <f t="shared" ca="1" si="1"/>
        <v>3951.2904036795117</v>
      </c>
      <c r="J22" s="70">
        <f t="shared" ca="1" si="2"/>
        <v>0</v>
      </c>
      <c r="K22" s="108">
        <f t="shared" si="16"/>
        <v>15.231571953029453</v>
      </c>
      <c r="L22" s="108">
        <f t="shared" si="17"/>
        <v>17.574890715033987</v>
      </c>
      <c r="M22" s="108"/>
      <c r="N22" s="115">
        <f t="shared" si="3"/>
        <v>704.26383695491631</v>
      </c>
      <c r="O22" s="116">
        <f t="shared" si="18"/>
        <v>5245.051128554056</v>
      </c>
      <c r="P22" s="117">
        <f t="shared" si="4"/>
        <v>1638.0946628735483</v>
      </c>
      <c r="Q22" s="118">
        <f t="shared" si="19"/>
        <v>14137.862303031492</v>
      </c>
      <c r="R22" s="108">
        <f t="shared" ca="1" si="5"/>
        <v>104.61173227891673</v>
      </c>
      <c r="S22" s="115">
        <f t="shared" ca="1" si="6"/>
        <v>599.65210467599957</v>
      </c>
      <c r="T22" s="116">
        <f t="shared" ca="1" si="20"/>
        <v>4715.4907098819704</v>
      </c>
      <c r="U22" s="119">
        <v>9</v>
      </c>
      <c r="V22" s="119"/>
      <c r="W22" s="115">
        <f t="shared" ca="1" si="7"/>
        <v>738.43575726294171</v>
      </c>
      <c r="X22" s="120">
        <f t="shared" ca="1" si="8"/>
        <v>3212.8546464165702</v>
      </c>
      <c r="Y22" s="120">
        <f t="shared" ca="1" si="10"/>
        <v>0</v>
      </c>
      <c r="Z22" s="115">
        <f t="shared" ca="1" si="11"/>
        <v>704.26383695491631</v>
      </c>
      <c r="AA22" s="116">
        <f t="shared" ca="1" si="21"/>
        <v>5245.051128554056</v>
      </c>
      <c r="AB22" s="119">
        <v>9</v>
      </c>
    </row>
    <row r="23" spans="1:28" ht="15" x14ac:dyDescent="0.25">
      <c r="A23" s="51">
        <v>10</v>
      </c>
      <c r="B23" s="130">
        <f t="shared" si="22"/>
        <v>9227.4469442792015</v>
      </c>
      <c r="C23" s="122">
        <f t="shared" si="12"/>
        <v>0.93206534790699003</v>
      </c>
      <c r="D23" s="110">
        <f t="shared" ca="1" si="13"/>
        <v>0.06</v>
      </c>
      <c r="E23" s="111">
        <f t="shared" ca="1" si="14"/>
        <v>9781.0937609359535</v>
      </c>
      <c r="F23" s="112">
        <f t="shared" si="15"/>
        <v>4762.4221209767411</v>
      </c>
      <c r="G23" s="108">
        <f t="shared" ca="1" si="9"/>
        <v>2934.3281282807861</v>
      </c>
      <c r="H23" s="113">
        <f t="shared" ca="1" si="0"/>
        <v>1828.093992695955</v>
      </c>
      <c r="I23" s="70">
        <f t="shared" ca="1" si="1"/>
        <v>5018.6716399592124</v>
      </c>
      <c r="J23" s="70">
        <f t="shared" ca="1" si="2"/>
        <v>0</v>
      </c>
      <c r="K23" s="108">
        <f t="shared" si="16"/>
        <v>15.536203392090043</v>
      </c>
      <c r="L23" s="108">
        <f t="shared" si="17"/>
        <v>17.926388529334666</v>
      </c>
      <c r="M23" s="108"/>
      <c r="N23" s="115">
        <f t="shared" si="3"/>
        <v>739.89958710483495</v>
      </c>
      <c r="O23" s="116">
        <f t="shared" si="18"/>
        <v>5984.9507156588907</v>
      </c>
      <c r="P23" s="117">
        <f t="shared" si="4"/>
        <v>1654.147990569709</v>
      </c>
      <c r="Q23" s="118">
        <f t="shared" si="19"/>
        <v>15792.010293601201</v>
      </c>
      <c r="R23" s="108">
        <f t="shared" ca="1" si="5"/>
        <v>93.232793627493706</v>
      </c>
      <c r="S23" s="115">
        <f t="shared" ca="1" si="6"/>
        <v>646.66679347734123</v>
      </c>
      <c r="T23" s="116">
        <f t="shared" ca="1" si="20"/>
        <v>5362.1575033593117</v>
      </c>
      <c r="U23" s="119">
        <v>10</v>
      </c>
      <c r="V23" s="119"/>
      <c r="W23" s="115">
        <f t="shared" ca="1" si="7"/>
        <v>658.11383737054382</v>
      </c>
      <c r="X23" s="120">
        <f t="shared" ca="1" si="8"/>
        <v>4360.5578025886689</v>
      </c>
      <c r="Y23" s="120">
        <f t="shared" ca="1" si="10"/>
        <v>0</v>
      </c>
      <c r="Z23" s="115">
        <f t="shared" ca="1" si="11"/>
        <v>739.89958710483495</v>
      </c>
      <c r="AA23" s="116">
        <f t="shared" ca="1" si="21"/>
        <v>5984.9507156588907</v>
      </c>
      <c r="AB23" s="119">
        <v>10</v>
      </c>
    </row>
    <row r="24" spans="1:28" ht="15" x14ac:dyDescent="0.25">
      <c r="A24" s="51">
        <v>11</v>
      </c>
      <c r="B24" s="130">
        <f t="shared" si="22"/>
        <v>9135.1724748364086</v>
      </c>
      <c r="C24" s="122">
        <f t="shared" si="12"/>
        <v>0.92274469442792006</v>
      </c>
      <c r="D24" s="110">
        <f t="shared" ca="1" si="13"/>
        <v>0.16</v>
      </c>
      <c r="E24" s="111">
        <f t="shared" ca="1" si="14"/>
        <v>10596.800070810234</v>
      </c>
      <c r="F24" s="112">
        <f t="shared" si="15"/>
        <v>4905.2947846060433</v>
      </c>
      <c r="G24" s="108">
        <f t="shared" ca="1" si="9"/>
        <v>3179.04002124307</v>
      </c>
      <c r="H24" s="113">
        <f t="shared" ca="1" si="0"/>
        <v>1726.2547633629733</v>
      </c>
      <c r="I24" s="70">
        <f t="shared" ca="1" si="1"/>
        <v>5691.5052862041903</v>
      </c>
      <c r="J24" s="70">
        <f t="shared" ca="1" si="2"/>
        <v>0</v>
      </c>
      <c r="K24" s="108">
        <f t="shared" si="16"/>
        <v>15.846927459931843</v>
      </c>
      <c r="L24" s="108">
        <f t="shared" si="17"/>
        <v>18.28491629992136</v>
      </c>
      <c r="M24" s="108"/>
      <c r="N24" s="115">
        <f t="shared" si="3"/>
        <v>777.33850621233955</v>
      </c>
      <c r="O24" s="116">
        <f t="shared" si="18"/>
        <v>6762.2892218712304</v>
      </c>
      <c r="P24" s="117">
        <f t="shared" si="4"/>
        <v>1670.3586408772919</v>
      </c>
      <c r="Q24" s="118">
        <f t="shared" si="19"/>
        <v>17462.368934478494</v>
      </c>
      <c r="R24" s="108">
        <f t="shared" ca="1" si="5"/>
        <v>88.038992931511643</v>
      </c>
      <c r="S24" s="115">
        <f t="shared" ca="1" si="6"/>
        <v>689.29951328082791</v>
      </c>
      <c r="T24" s="116">
        <f t="shared" ca="1" si="20"/>
        <v>6051.45701664014</v>
      </c>
      <c r="U24" s="119">
        <v>11</v>
      </c>
      <c r="V24" s="119"/>
      <c r="W24" s="115">
        <f t="shared" ca="1" si="7"/>
        <v>621.45171481067041</v>
      </c>
      <c r="X24" s="120">
        <f t="shared" ca="1" si="8"/>
        <v>5070.0535713935205</v>
      </c>
      <c r="Y24" s="120">
        <f t="shared" ca="1" si="10"/>
        <v>0</v>
      </c>
      <c r="Z24" s="115">
        <f t="shared" ca="1" si="11"/>
        <v>777.33850621233955</v>
      </c>
      <c r="AA24" s="116">
        <f t="shared" ca="1" si="21"/>
        <v>6762.2892218712304</v>
      </c>
      <c r="AB24" s="119">
        <v>11</v>
      </c>
    </row>
    <row r="25" spans="1:28" ht="15" x14ac:dyDescent="0.25">
      <c r="A25" s="51">
        <v>12</v>
      </c>
      <c r="B25" s="130">
        <f t="shared" si="22"/>
        <v>9043.8207500880453</v>
      </c>
      <c r="C25" s="122">
        <f t="shared" si="12"/>
        <v>0.91351724748364094</v>
      </c>
      <c r="D25" s="110">
        <f t="shared" ca="1" si="13"/>
        <v>-0.08</v>
      </c>
      <c r="E25" s="111">
        <f t="shared" ca="1" si="14"/>
        <v>8320.3150900810015</v>
      </c>
      <c r="F25" s="112">
        <f t="shared" si="15"/>
        <v>5052.4536281442242</v>
      </c>
      <c r="G25" s="108">
        <f t="shared" ca="1" si="9"/>
        <v>2496.0945270243005</v>
      </c>
      <c r="H25" s="113">
        <f t="shared" ca="1" si="0"/>
        <v>2556.3591011199237</v>
      </c>
      <c r="I25" s="70">
        <f t="shared" ca="1" si="1"/>
        <v>3267.8614619367772</v>
      </c>
      <c r="J25" s="70">
        <f t="shared" ca="1" si="2"/>
        <v>0</v>
      </c>
      <c r="K25" s="108">
        <f t="shared" si="16"/>
        <v>16.16386600913048</v>
      </c>
      <c r="L25" s="108">
        <f t="shared" si="17"/>
        <v>18.650614625919786</v>
      </c>
      <c r="M25" s="108"/>
      <c r="N25" s="115">
        <f t="shared" si="3"/>
        <v>816.67183462668402</v>
      </c>
      <c r="O25" s="116">
        <f t="shared" si="18"/>
        <v>7578.9610564979148</v>
      </c>
      <c r="P25" s="117">
        <f t="shared" si="4"/>
        <v>1686.7281555578895</v>
      </c>
      <c r="Q25" s="118">
        <f t="shared" si="19"/>
        <v>19149.097090036383</v>
      </c>
      <c r="R25" s="108">
        <f t="shared" ca="1" si="5"/>
        <v>130.37431415711609</v>
      </c>
      <c r="S25" s="115">
        <f t="shared" ca="1" si="6"/>
        <v>686.29752046956787</v>
      </c>
      <c r="T25" s="116">
        <f t="shared" ca="1" si="20"/>
        <v>6737.7545371097076</v>
      </c>
      <c r="U25" s="119">
        <v>12</v>
      </c>
      <c r="V25" s="119"/>
      <c r="W25" s="115">
        <f t="shared" ca="1" si="7"/>
        <v>920.28927640317249</v>
      </c>
      <c r="X25" s="120">
        <f t="shared" ca="1" si="8"/>
        <v>2347.5721855336051</v>
      </c>
      <c r="Y25" s="120">
        <f t="shared" ca="1" si="10"/>
        <v>0</v>
      </c>
      <c r="Z25" s="115">
        <f t="shared" ca="1" si="11"/>
        <v>816.67183462668402</v>
      </c>
      <c r="AA25" s="116">
        <f t="shared" ca="1" si="21"/>
        <v>7578.9610564979148</v>
      </c>
      <c r="AB25" s="119">
        <v>12</v>
      </c>
    </row>
    <row r="26" spans="1:28" ht="15" x14ac:dyDescent="0.25">
      <c r="A26" s="51">
        <v>13</v>
      </c>
      <c r="B26" s="130">
        <f t="shared" si="22"/>
        <v>8953.3825425871655</v>
      </c>
      <c r="C26" s="122">
        <f t="shared" si="12"/>
        <v>0.90438207500880463</v>
      </c>
      <c r="D26" s="110">
        <f t="shared" ca="1" si="13"/>
        <v>0.02</v>
      </c>
      <c r="E26" s="111">
        <f t="shared" ca="1" si="14"/>
        <v>9132.4501934389082</v>
      </c>
      <c r="F26" s="112">
        <f t="shared" si="15"/>
        <v>5204.0272369885506</v>
      </c>
      <c r="G26" s="108">
        <f t="shared" ca="1" si="9"/>
        <v>2739.7350580316725</v>
      </c>
      <c r="H26" s="113">
        <f t="shared" ca="1" si="0"/>
        <v>2464.2921789568782</v>
      </c>
      <c r="I26" s="70">
        <f t="shared" ca="1" si="1"/>
        <v>3928.4229564503576</v>
      </c>
      <c r="J26" s="70">
        <f t="shared" ca="1" si="2"/>
        <v>0</v>
      </c>
      <c r="K26" s="108">
        <f t="shared" si="16"/>
        <v>16.487143329313088</v>
      </c>
      <c r="L26" s="108">
        <f t="shared" si="17"/>
        <v>19.023626918438183</v>
      </c>
      <c r="M26" s="108"/>
      <c r="N26" s="115">
        <f t="shared" si="3"/>
        <v>857.99542945879409</v>
      </c>
      <c r="O26" s="116">
        <f t="shared" si="18"/>
        <v>8436.956485956709</v>
      </c>
      <c r="P26" s="117">
        <f t="shared" si="4"/>
        <v>1703.258091482357</v>
      </c>
      <c r="Q26" s="118">
        <f t="shared" si="19"/>
        <v>20852.355181518738</v>
      </c>
      <c r="R26" s="108">
        <f t="shared" ca="1" si="5"/>
        <v>125.67890112680078</v>
      </c>
      <c r="S26" s="115">
        <f t="shared" ca="1" si="6"/>
        <v>732.31652833199337</v>
      </c>
      <c r="T26" s="116">
        <f t="shared" ca="1" si="20"/>
        <v>7470.0710654417007</v>
      </c>
      <c r="U26" s="119">
        <v>13</v>
      </c>
      <c r="V26" s="119"/>
      <c r="W26" s="115">
        <f t="shared" ca="1" si="7"/>
        <v>887.14518442447616</v>
      </c>
      <c r="X26" s="120">
        <f t="shared" ca="1" si="8"/>
        <v>3041.2777720258809</v>
      </c>
      <c r="Y26" s="120">
        <f t="shared" ca="1" si="10"/>
        <v>0</v>
      </c>
      <c r="Z26" s="115">
        <f t="shared" ca="1" si="11"/>
        <v>857.99542945879409</v>
      </c>
      <c r="AA26" s="116">
        <f t="shared" ca="1" si="21"/>
        <v>8436.956485956709</v>
      </c>
      <c r="AB26" s="119">
        <v>13</v>
      </c>
    </row>
    <row r="27" spans="1:28" ht="15" x14ac:dyDescent="0.25">
      <c r="A27" s="51">
        <v>14</v>
      </c>
      <c r="B27" s="130">
        <f t="shared" si="22"/>
        <v>8863.8487171612942</v>
      </c>
      <c r="C27" s="122">
        <f t="shared" si="12"/>
        <v>0.8953382542587166</v>
      </c>
      <c r="D27" s="110">
        <f t="shared" ca="1" si="13"/>
        <v>0.11</v>
      </c>
      <c r="E27" s="111">
        <f t="shared" ca="1" si="14"/>
        <v>9838.872076049036</v>
      </c>
      <c r="F27" s="112">
        <f t="shared" si="15"/>
        <v>5360.1480540982075</v>
      </c>
      <c r="G27" s="108">
        <f t="shared" ca="1" si="9"/>
        <v>2951.6616228147109</v>
      </c>
      <c r="H27" s="113">
        <f t="shared" ca="1" si="0"/>
        <v>2408.4864312834966</v>
      </c>
      <c r="I27" s="70">
        <f t="shared" ca="1" si="1"/>
        <v>4478.7240219508285</v>
      </c>
      <c r="J27" s="70">
        <f t="shared" ca="1" si="2"/>
        <v>0</v>
      </c>
      <c r="K27" s="108">
        <f t="shared" si="16"/>
        <v>16.81688619589935</v>
      </c>
      <c r="L27" s="108">
        <f t="shared" si="17"/>
        <v>19.404099456806946</v>
      </c>
      <c r="M27" s="108"/>
      <c r="N27" s="115">
        <f t="shared" si="3"/>
        <v>901.40999818940907</v>
      </c>
      <c r="O27" s="116">
        <f t="shared" si="18"/>
        <v>9338.3664841461177</v>
      </c>
      <c r="P27" s="117">
        <f t="shared" si="4"/>
        <v>1719.950020778884</v>
      </c>
      <c r="Q27" s="118">
        <f t="shared" si="19"/>
        <v>22572.305202297623</v>
      </c>
      <c r="R27" s="108">
        <f t="shared" ca="1" si="5"/>
        <v>122.83280799545831</v>
      </c>
      <c r="S27" s="115">
        <f t="shared" ca="1" si="6"/>
        <v>778.57719019395074</v>
      </c>
      <c r="T27" s="116">
        <f t="shared" ca="1" si="20"/>
        <v>8248.6482556356514</v>
      </c>
      <c r="U27" s="119">
        <v>14</v>
      </c>
      <c r="V27" s="119"/>
      <c r="W27" s="115">
        <f t="shared" ca="1" si="7"/>
        <v>867.05511526205873</v>
      </c>
      <c r="X27" s="120">
        <f t="shared" ca="1" si="8"/>
        <v>3611.6689066887693</v>
      </c>
      <c r="Y27" s="120">
        <f t="shared" ca="1" si="10"/>
        <v>0</v>
      </c>
      <c r="Z27" s="115">
        <f t="shared" ca="1" si="11"/>
        <v>901.40999818940907</v>
      </c>
      <c r="AA27" s="116">
        <f t="shared" ca="1" si="21"/>
        <v>9338.3664841461177</v>
      </c>
      <c r="AB27" s="119">
        <v>14</v>
      </c>
    </row>
    <row r="28" spans="1:28" ht="15" x14ac:dyDescent="0.25">
      <c r="A28" s="51">
        <v>15</v>
      </c>
      <c r="B28" s="130">
        <f t="shared" si="22"/>
        <v>8775.2102299896815</v>
      </c>
      <c r="C28" s="122">
        <f t="shared" si="12"/>
        <v>0.88638487171612945</v>
      </c>
      <c r="D28" s="110">
        <f t="shared" ca="1" si="13"/>
        <v>-0.15</v>
      </c>
      <c r="E28" s="111">
        <f t="shared" ca="1" si="14"/>
        <v>7458.9286954912295</v>
      </c>
      <c r="F28" s="112">
        <f t="shared" si="15"/>
        <v>5520.9524957211534</v>
      </c>
      <c r="G28" s="108">
        <f t="shared" ca="1" si="9"/>
        <v>2237.6786086473689</v>
      </c>
      <c r="H28" s="113">
        <f t="shared" ca="1" si="0"/>
        <v>3283.2738870737844</v>
      </c>
      <c r="I28" s="70">
        <f t="shared" ca="1" si="1"/>
        <v>1937.9761997700762</v>
      </c>
      <c r="J28" s="70">
        <f t="shared" ca="1" si="2"/>
        <v>0</v>
      </c>
      <c r="K28" s="108">
        <f t="shared" si="16"/>
        <v>17.153223919817336</v>
      </c>
      <c r="L28" s="108">
        <f t="shared" si="17"/>
        <v>19.792181445943086</v>
      </c>
      <c r="M28" s="108"/>
      <c r="N28" s="115">
        <f t="shared" si="3"/>
        <v>947.02134409779308</v>
      </c>
      <c r="O28" s="116">
        <f t="shared" si="18"/>
        <v>10285.387828243911</v>
      </c>
      <c r="P28" s="117">
        <f t="shared" si="4"/>
        <v>1736.8055309825172</v>
      </c>
      <c r="Q28" s="118">
        <f t="shared" si="19"/>
        <v>24309.11073328014</v>
      </c>
      <c r="R28" s="108">
        <f t="shared" ca="1" si="5"/>
        <v>167.44696824076297</v>
      </c>
      <c r="S28" s="115">
        <f t="shared" ca="1" si="6"/>
        <v>779.57437585703008</v>
      </c>
      <c r="T28" s="116">
        <f t="shared" ca="1" si="20"/>
        <v>9028.2226314926811</v>
      </c>
      <c r="U28" s="119">
        <v>15</v>
      </c>
      <c r="V28" s="119"/>
      <c r="W28" s="115">
        <f t="shared" ca="1" si="7"/>
        <v>1181.9785993465623</v>
      </c>
      <c r="X28" s="120">
        <f t="shared" ca="1" si="8"/>
        <v>755.99760042351409</v>
      </c>
      <c r="Y28" s="120">
        <f t="shared" ca="1" si="10"/>
        <v>0</v>
      </c>
      <c r="Z28" s="115">
        <f t="shared" ca="1" si="11"/>
        <v>947.02134409779308</v>
      </c>
      <c r="AA28" s="116">
        <f t="shared" ca="1" si="21"/>
        <v>10285.387828243911</v>
      </c>
      <c r="AB28" s="119">
        <v>15</v>
      </c>
    </row>
    <row r="29" spans="1:28" ht="15" x14ac:dyDescent="0.25">
      <c r="A29" s="51">
        <v>16</v>
      </c>
      <c r="B29" s="130">
        <f t="shared" si="22"/>
        <v>8687.4581276897843</v>
      </c>
      <c r="C29" s="122">
        <f t="shared" si="12"/>
        <v>0.87752102299896806</v>
      </c>
      <c r="D29" s="110">
        <f t="shared" ca="1" si="13"/>
        <v>-0.02</v>
      </c>
      <c r="E29" s="111">
        <f t="shared" ca="1" si="14"/>
        <v>8513.7089651359893</v>
      </c>
      <c r="F29" s="112">
        <f t="shared" si="15"/>
        <v>5686.5810705927879</v>
      </c>
      <c r="G29" s="108">
        <f t="shared" ca="1" si="9"/>
        <v>2554.1126895407965</v>
      </c>
      <c r="H29" s="113">
        <f t="shared" ca="1" si="0"/>
        <v>3132.4683810519914</v>
      </c>
      <c r="I29" s="70">
        <f t="shared" ca="1" si="1"/>
        <v>2827.1278945432014</v>
      </c>
      <c r="J29" s="70">
        <f t="shared" ca="1" si="2"/>
        <v>0</v>
      </c>
      <c r="K29" s="108">
        <f t="shared" si="16"/>
        <v>17.496288398213682</v>
      </c>
      <c r="L29" s="108">
        <f t="shared" si="17"/>
        <v>20.188025074861947</v>
      </c>
      <c r="M29" s="108"/>
      <c r="N29" s="115">
        <f t="shared" si="3"/>
        <v>994.94062410914137</v>
      </c>
      <c r="O29" s="116">
        <f t="shared" si="18"/>
        <v>11280.328452353053</v>
      </c>
      <c r="P29" s="117">
        <f t="shared" si="4"/>
        <v>1753.8262251861461</v>
      </c>
      <c r="Q29" s="118">
        <f t="shared" si="19"/>
        <v>26062.936958466285</v>
      </c>
      <c r="R29" s="108">
        <f t="shared" ca="1" si="5"/>
        <v>159.75588743365154</v>
      </c>
      <c r="S29" s="115">
        <f t="shared" ca="1" si="6"/>
        <v>835.18473667548983</v>
      </c>
      <c r="T29" s="116">
        <f t="shared" ca="1" si="20"/>
        <v>9863.4073681681712</v>
      </c>
      <c r="U29" s="119">
        <v>16</v>
      </c>
      <c r="V29" s="119"/>
      <c r="W29" s="115">
        <f t="shared" ca="1" si="7"/>
        <v>1127.6886171787169</v>
      </c>
      <c r="X29" s="120">
        <f t="shared" ca="1" si="8"/>
        <v>1699.439277364484</v>
      </c>
      <c r="Y29" s="120">
        <f t="shared" ca="1" si="10"/>
        <v>0</v>
      </c>
      <c r="Z29" s="115">
        <f t="shared" ca="1" si="11"/>
        <v>994.94062410914137</v>
      </c>
      <c r="AA29" s="116">
        <f t="shared" ca="1" si="21"/>
        <v>11280.328452353053</v>
      </c>
      <c r="AB29" s="119">
        <v>16</v>
      </c>
    </row>
    <row r="30" spans="1:28" ht="15" x14ac:dyDescent="0.25">
      <c r="A30" s="51">
        <v>17</v>
      </c>
      <c r="B30" s="130">
        <f t="shared" si="22"/>
        <v>8600.5835464128868</v>
      </c>
      <c r="C30" s="122">
        <f t="shared" si="12"/>
        <v>0.86874581276897844</v>
      </c>
      <c r="D30" s="110">
        <f t="shared" ca="1" si="13"/>
        <v>0.05</v>
      </c>
      <c r="E30" s="111">
        <f t="shared" ca="1" si="14"/>
        <v>9030.6127237335313</v>
      </c>
      <c r="F30" s="112">
        <f t="shared" si="15"/>
        <v>5857.1785027105716</v>
      </c>
      <c r="G30" s="108">
        <f t="shared" ca="1" si="9"/>
        <v>2709.1838171200593</v>
      </c>
      <c r="H30" s="113">
        <f t="shared" ca="1" si="0"/>
        <v>3147.9946855905123</v>
      </c>
      <c r="I30" s="70">
        <f t="shared" ca="1" si="1"/>
        <v>3173.4342210229597</v>
      </c>
      <c r="J30" s="70">
        <f t="shared" ca="1" si="2"/>
        <v>0</v>
      </c>
      <c r="K30" s="108">
        <f t="shared" si="16"/>
        <v>17.846214166177955</v>
      </c>
      <c r="L30" s="108">
        <f t="shared" si="17"/>
        <v>20.591785576359186</v>
      </c>
      <c r="M30" s="108"/>
      <c r="N30" s="115">
        <f t="shared" si="3"/>
        <v>1045.2846196890639</v>
      </c>
      <c r="O30" s="116">
        <f t="shared" si="18"/>
        <v>12325.613072042117</v>
      </c>
      <c r="P30" s="117">
        <f t="shared" si="4"/>
        <v>1771.0137221929701</v>
      </c>
      <c r="Q30" s="118">
        <f t="shared" si="19"/>
        <v>27833.950680659254</v>
      </c>
      <c r="R30" s="108">
        <f t="shared" ca="1" si="5"/>
        <v>160.54772896511611</v>
      </c>
      <c r="S30" s="115">
        <f t="shared" ca="1" si="6"/>
        <v>884.73689072394779</v>
      </c>
      <c r="T30" s="116">
        <f t="shared" ca="1" si="20"/>
        <v>10748.144258892118</v>
      </c>
      <c r="U30" s="119">
        <v>17</v>
      </c>
      <c r="V30" s="119"/>
      <c r="W30" s="115">
        <f t="shared" ca="1" si="7"/>
        <v>1133.2780868125844</v>
      </c>
      <c r="X30" s="120">
        <f t="shared" ca="1" si="8"/>
        <v>2040.1561342103751</v>
      </c>
      <c r="Y30" s="120">
        <f t="shared" ca="1" si="10"/>
        <v>0</v>
      </c>
      <c r="Z30" s="115">
        <f t="shared" ca="1" si="11"/>
        <v>1045.2846196890639</v>
      </c>
      <c r="AA30" s="116">
        <f t="shared" ca="1" si="21"/>
        <v>12325.613072042117</v>
      </c>
      <c r="AB30" s="119">
        <v>17</v>
      </c>
    </row>
    <row r="31" spans="1:28" ht="15" x14ac:dyDescent="0.25">
      <c r="A31" s="51">
        <v>18</v>
      </c>
      <c r="B31" s="130">
        <f t="shared" si="22"/>
        <v>8514.5777109487572</v>
      </c>
      <c r="C31" s="122">
        <f t="shared" si="12"/>
        <v>0.86005835464128855</v>
      </c>
      <c r="D31" s="110">
        <f t="shared" ca="1" si="13"/>
        <v>0.17</v>
      </c>
      <c r="E31" s="111">
        <f t="shared" ca="1" si="14"/>
        <v>9962.0559218100461</v>
      </c>
      <c r="F31" s="112">
        <f t="shared" si="15"/>
        <v>6032.8938577918889</v>
      </c>
      <c r="G31" s="108">
        <f t="shared" ca="1" si="9"/>
        <v>2988.6167765430137</v>
      </c>
      <c r="H31" s="113">
        <f t="shared" ca="1" si="0"/>
        <v>3044.2770812488752</v>
      </c>
      <c r="I31" s="70">
        <f t="shared" ca="1" si="1"/>
        <v>3929.1620640181573</v>
      </c>
      <c r="J31" s="70">
        <f t="shared" ca="1" si="2"/>
        <v>0</v>
      </c>
      <c r="K31" s="108">
        <f t="shared" si="16"/>
        <v>18.203138449501512</v>
      </c>
      <c r="L31" s="108">
        <f t="shared" si="17"/>
        <v>21.003621287886368</v>
      </c>
      <c r="M31" s="108"/>
      <c r="N31" s="115">
        <f t="shared" si="3"/>
        <v>1098.1760214453304</v>
      </c>
      <c r="O31" s="116">
        <f t="shared" si="18"/>
        <v>13423.789093487447</v>
      </c>
      <c r="P31" s="117">
        <f t="shared" si="4"/>
        <v>1788.3696566704612</v>
      </c>
      <c r="Q31" s="118">
        <f t="shared" si="19"/>
        <v>29622.320337329715</v>
      </c>
      <c r="R31" s="108">
        <f t="shared" ca="1" si="5"/>
        <v>155.25813114369262</v>
      </c>
      <c r="S31" s="115">
        <f t="shared" ca="1" si="6"/>
        <v>942.91789030163784</v>
      </c>
      <c r="T31" s="116">
        <f t="shared" ca="1" si="20"/>
        <v>11691.062149193756</v>
      </c>
      <c r="U31" s="119">
        <v>18</v>
      </c>
      <c r="V31" s="119"/>
      <c r="W31" s="115">
        <f t="shared" ca="1" si="7"/>
        <v>1095.939749249595</v>
      </c>
      <c r="X31" s="120">
        <f t="shared" ca="1" si="8"/>
        <v>2833.2223147685618</v>
      </c>
      <c r="Y31" s="120">
        <f t="shared" ca="1" si="10"/>
        <v>0</v>
      </c>
      <c r="Z31" s="115">
        <f t="shared" ca="1" si="11"/>
        <v>1098.1760214453304</v>
      </c>
      <c r="AA31" s="116">
        <f t="shared" ca="1" si="21"/>
        <v>13423.789093487447</v>
      </c>
      <c r="AB31" s="119">
        <v>18</v>
      </c>
    </row>
    <row r="32" spans="1:28" ht="15" x14ac:dyDescent="0.25">
      <c r="A32" s="51">
        <v>19</v>
      </c>
      <c r="B32" s="130">
        <f t="shared" si="22"/>
        <v>8429.4319338392688</v>
      </c>
      <c r="C32" s="122">
        <f t="shared" si="12"/>
        <v>0.85145777109487564</v>
      </c>
      <c r="D32" s="110">
        <f t="shared" ca="1" si="13"/>
        <v>-0.18</v>
      </c>
      <c r="E32" s="111">
        <f t="shared" ca="1" si="14"/>
        <v>6912.1341857482003</v>
      </c>
      <c r="F32" s="112">
        <f t="shared" si="15"/>
        <v>6213.8806735256458</v>
      </c>
      <c r="G32" s="108">
        <f t="shared" ca="1" si="9"/>
        <v>2073.6402557244601</v>
      </c>
      <c r="H32" s="113">
        <f t="shared" ca="1" si="0"/>
        <v>4140.2404178011857</v>
      </c>
      <c r="I32" s="70">
        <f t="shared" ca="1" si="1"/>
        <v>698.25351222255449</v>
      </c>
      <c r="J32" s="70">
        <f t="shared" ca="1" si="2"/>
        <v>0</v>
      </c>
      <c r="K32" s="108">
        <f t="shared" si="16"/>
        <v>18.567201218491544</v>
      </c>
      <c r="L32" s="108">
        <f t="shared" si="17"/>
        <v>21.423693713644095</v>
      </c>
      <c r="M32" s="108"/>
      <c r="N32" s="115">
        <f t="shared" si="3"/>
        <v>1153.7437281304642</v>
      </c>
      <c r="O32" s="116">
        <f t="shared" si="18"/>
        <v>14577.532821617911</v>
      </c>
      <c r="P32" s="117">
        <f t="shared" si="4"/>
        <v>1805.8956793058314</v>
      </c>
      <c r="Q32" s="118">
        <f t="shared" si="19"/>
        <v>31428.216016635546</v>
      </c>
      <c r="R32" s="108">
        <f t="shared" ca="1" si="5"/>
        <v>211.15226130786047</v>
      </c>
      <c r="S32" s="115">
        <f t="shared" ca="1" si="6"/>
        <v>942.59146682260371</v>
      </c>
      <c r="T32" s="116">
        <f t="shared" ca="1" si="20"/>
        <v>12633.65361601636</v>
      </c>
      <c r="U32" s="119">
        <v>19</v>
      </c>
      <c r="V32" s="119"/>
      <c r="W32" s="115">
        <f t="shared" ca="1" si="7"/>
        <v>1490.4865504084269</v>
      </c>
      <c r="X32" s="120">
        <f t="shared" ca="1" si="8"/>
        <v>-792.23303818587192</v>
      </c>
      <c r="Y32" s="120">
        <f t="shared" ca="1" si="10"/>
        <v>-169.72557959923827</v>
      </c>
      <c r="Z32" s="115">
        <f t="shared" ca="1" si="11"/>
        <v>984.01814853122596</v>
      </c>
      <c r="AA32" s="116">
        <f t="shared" ca="1" si="21"/>
        <v>14407.807242018673</v>
      </c>
      <c r="AB32" s="119">
        <v>19</v>
      </c>
    </row>
    <row r="33" spans="1:28" ht="15" x14ac:dyDescent="0.25">
      <c r="A33" s="51">
        <v>20</v>
      </c>
      <c r="B33" s="130">
        <f t="shared" si="22"/>
        <v>8345.1376145008762</v>
      </c>
      <c r="C33" s="122">
        <f t="shared" si="12"/>
        <v>0.84294319338392687</v>
      </c>
      <c r="D33" s="110">
        <f t="shared" ca="1" si="13"/>
        <v>-0.18</v>
      </c>
      <c r="E33" s="111">
        <f t="shared" ca="1" si="14"/>
        <v>6843.0128438907186</v>
      </c>
      <c r="F33" s="112">
        <f t="shared" si="15"/>
        <v>6400.2970937314149</v>
      </c>
      <c r="G33" s="108">
        <f t="shared" ca="1" si="9"/>
        <v>2052.9038531672154</v>
      </c>
      <c r="H33" s="113">
        <f t="shared" ca="1" si="0"/>
        <v>4347.393240564199</v>
      </c>
      <c r="I33" s="70">
        <f t="shared" ca="1" si="1"/>
        <v>442.71575015930375</v>
      </c>
      <c r="J33" s="70">
        <f t="shared" ca="1" si="2"/>
        <v>0</v>
      </c>
      <c r="K33" s="108">
        <f t="shared" si="16"/>
        <v>18.938545242861373</v>
      </c>
      <c r="L33" s="108">
        <f t="shared" si="17"/>
        <v>21.852167587916977</v>
      </c>
      <c r="M33" s="108"/>
      <c r="N33" s="115">
        <f t="shared" si="3"/>
        <v>1212.1231607738655</v>
      </c>
      <c r="O33" s="116">
        <f t="shared" si="18"/>
        <v>15789.655982391778</v>
      </c>
      <c r="P33" s="117">
        <f t="shared" si="4"/>
        <v>1823.5934569630285</v>
      </c>
      <c r="Q33" s="118">
        <f t="shared" si="19"/>
        <v>33251.809473598572</v>
      </c>
      <c r="R33" s="108">
        <f t="shared" ca="1" si="5"/>
        <v>221.71705526877412</v>
      </c>
      <c r="S33" s="115">
        <f t="shared" ca="1" si="6"/>
        <v>990.40610550509132</v>
      </c>
      <c r="T33" s="116">
        <f t="shared" ca="1" si="20"/>
        <v>13624.059721521451</v>
      </c>
      <c r="U33" s="119">
        <v>20</v>
      </c>
      <c r="V33" s="119"/>
      <c r="W33" s="115">
        <f t="shared" ca="1" si="7"/>
        <v>1565.0615666031115</v>
      </c>
      <c r="X33" s="120">
        <f t="shared" ca="1" si="8"/>
        <v>-1122.345816443808</v>
      </c>
      <c r="Y33" s="120">
        <f t="shared" ca="1" si="10"/>
        <v>-245.25688872527596</v>
      </c>
      <c r="Z33" s="115">
        <f t="shared" ca="1" si="11"/>
        <v>966.86627204858951</v>
      </c>
      <c r="AA33" s="116">
        <f t="shared" ca="1" si="21"/>
        <v>15374.673514067263</v>
      </c>
      <c r="AB33" s="119">
        <v>20</v>
      </c>
    </row>
    <row r="34" spans="1:28" ht="15" x14ac:dyDescent="0.25">
      <c r="A34" s="51">
        <v>21</v>
      </c>
      <c r="B34" s="130">
        <f t="shared" si="22"/>
        <v>8261.6862383558673</v>
      </c>
      <c r="C34" s="122">
        <f t="shared" si="12"/>
        <v>0.8345137614500876</v>
      </c>
      <c r="D34" s="110">
        <f t="shared" ca="1" si="13"/>
        <v>-0.08</v>
      </c>
      <c r="E34" s="111">
        <f t="shared" ca="1" si="14"/>
        <v>7600.751339287398</v>
      </c>
      <c r="F34" s="112">
        <f t="shared" si="15"/>
        <v>6592.3060065433574</v>
      </c>
      <c r="G34" s="108">
        <f t="shared" ca="1" si="9"/>
        <v>2280.2254017862192</v>
      </c>
      <c r="H34" s="113">
        <f t="shared" ca="1" si="0"/>
        <v>4312.0806047571386</v>
      </c>
      <c r="I34" s="70">
        <f t="shared" ca="1" si="1"/>
        <v>1008.4453327440406</v>
      </c>
      <c r="J34" s="70">
        <f t="shared" ca="1" si="2"/>
        <v>0</v>
      </c>
      <c r="K34" s="108">
        <f t="shared" si="16"/>
        <v>19.3173161477186</v>
      </c>
      <c r="L34" s="108">
        <f t="shared" si="17"/>
        <v>22.289210939675318</v>
      </c>
      <c r="M34" s="108"/>
      <c r="N34" s="115">
        <f t="shared" si="3"/>
        <v>1273.4565927090232</v>
      </c>
      <c r="O34" s="116">
        <f t="shared" si="18"/>
        <v>17063.1125751008</v>
      </c>
      <c r="P34" s="117">
        <f t="shared" si="4"/>
        <v>1841.4646728412661</v>
      </c>
      <c r="Q34" s="118">
        <f t="shared" si="19"/>
        <v>35093.274146439835</v>
      </c>
      <c r="R34" s="108">
        <f t="shared" ca="1" si="5"/>
        <v>219.91611084261407</v>
      </c>
      <c r="S34" s="115">
        <f t="shared" ca="1" si="6"/>
        <v>1053.5404818664092</v>
      </c>
      <c r="T34" s="116">
        <f t="shared" ca="1" si="20"/>
        <v>14677.600203387861</v>
      </c>
      <c r="U34" s="119">
        <v>21</v>
      </c>
      <c r="V34" s="119"/>
      <c r="W34" s="115">
        <f t="shared" ca="1" si="7"/>
        <v>1552.3490177125698</v>
      </c>
      <c r="X34" s="120">
        <f t="shared" ca="1" si="8"/>
        <v>-543.90368496852898</v>
      </c>
      <c r="Y34" s="120">
        <f t="shared" ca="1" si="10"/>
        <v>-121.23183965130255</v>
      </c>
      <c r="Z34" s="115">
        <f t="shared" ca="1" si="11"/>
        <v>1152.2247530577206</v>
      </c>
      <c r="AA34" s="116">
        <f t="shared" ca="1" si="21"/>
        <v>16526.898267124983</v>
      </c>
      <c r="AB34" s="119">
        <v>21</v>
      </c>
    </row>
    <row r="35" spans="1:28" ht="15" x14ac:dyDescent="0.25">
      <c r="A35" s="51">
        <v>22</v>
      </c>
      <c r="B35" s="130">
        <f t="shared" si="22"/>
        <v>8179.069375972309</v>
      </c>
      <c r="C35" s="122">
        <f t="shared" si="12"/>
        <v>0.82616862383558676</v>
      </c>
      <c r="D35" s="110">
        <f t="shared" ca="1" si="13"/>
        <v>0.13</v>
      </c>
      <c r="E35" s="111">
        <f t="shared" ca="1" si="14"/>
        <v>9242.3483948487083</v>
      </c>
      <c r="F35" s="112">
        <f t="shared" si="15"/>
        <v>6790.0751867396584</v>
      </c>
      <c r="G35" s="108">
        <f t="shared" ca="1" si="9"/>
        <v>2772.7045184546123</v>
      </c>
      <c r="H35" s="113">
        <f t="shared" ca="1" si="0"/>
        <v>4017.3706682850461</v>
      </c>
      <c r="I35" s="70">
        <f t="shared" ca="1" si="1"/>
        <v>2452.2732081090498</v>
      </c>
      <c r="J35" s="70">
        <f t="shared" ca="1" si="2"/>
        <v>0</v>
      </c>
      <c r="K35" s="108">
        <f t="shared" si="16"/>
        <v>19.70366247067297</v>
      </c>
      <c r="L35" s="108">
        <f t="shared" si="17"/>
        <v>22.734995158468823</v>
      </c>
      <c r="M35" s="108"/>
      <c r="N35" s="115">
        <f t="shared" si="3"/>
        <v>1337.8934963000997</v>
      </c>
      <c r="O35" s="116">
        <f t="shared" si="18"/>
        <v>18401.006071400901</v>
      </c>
      <c r="P35" s="117">
        <f t="shared" si="4"/>
        <v>1859.5110266351105</v>
      </c>
      <c r="Q35" s="118">
        <f t="shared" si="19"/>
        <v>36952.785173074946</v>
      </c>
      <c r="R35" s="108">
        <f t="shared" ca="1" si="5"/>
        <v>204.88590408253734</v>
      </c>
      <c r="S35" s="115">
        <f t="shared" ca="1" si="6"/>
        <v>1133.0075922175624</v>
      </c>
      <c r="T35" s="116">
        <f t="shared" ca="1" si="20"/>
        <v>15810.607795605423</v>
      </c>
      <c r="U35" s="119">
        <v>22</v>
      </c>
      <c r="V35" s="119"/>
      <c r="W35" s="115">
        <f t="shared" ca="1" si="7"/>
        <v>1446.2534405826166</v>
      </c>
      <c r="X35" s="120">
        <f t="shared" ca="1" si="8"/>
        <v>1006.0197675264335</v>
      </c>
      <c r="Y35" s="120">
        <f t="shared" ca="1" si="10"/>
        <v>0</v>
      </c>
      <c r="Z35" s="115">
        <f t="shared" ca="1" si="11"/>
        <v>1337.8934963000997</v>
      </c>
      <c r="AA35" s="116">
        <f t="shared" ca="1" si="21"/>
        <v>17864.791763425084</v>
      </c>
      <c r="AB35" s="119">
        <v>22</v>
      </c>
    </row>
    <row r="36" spans="1:28" ht="15" x14ac:dyDescent="0.25">
      <c r="A36" s="51">
        <v>23</v>
      </c>
      <c r="B36" s="130">
        <f t="shared" si="22"/>
        <v>8097.2786822125863</v>
      </c>
      <c r="C36" s="122">
        <f t="shared" si="12"/>
        <v>0.81790693759723099</v>
      </c>
      <c r="D36" s="110">
        <f t="shared" ca="1" si="13"/>
        <v>0.04</v>
      </c>
      <c r="E36" s="111">
        <f t="shared" ca="1" si="14"/>
        <v>8421.1698295010901</v>
      </c>
      <c r="F36" s="112">
        <f t="shared" si="15"/>
        <v>6993.7774423418477</v>
      </c>
      <c r="G36" s="108">
        <f t="shared" ca="1" si="9"/>
        <v>2526.3509488503269</v>
      </c>
      <c r="H36" s="113">
        <f t="shared" ca="1" si="0"/>
        <v>4467.4264934915209</v>
      </c>
      <c r="I36" s="70">
        <f t="shared" ca="1" si="1"/>
        <v>1427.3923871592424</v>
      </c>
      <c r="J36" s="70">
        <f t="shared" ca="1" si="2"/>
        <v>0</v>
      </c>
      <c r="K36" s="108">
        <f t="shared" si="16"/>
        <v>20.09773572008643</v>
      </c>
      <c r="L36" s="108">
        <f t="shared" si="17"/>
        <v>23.189695061638201</v>
      </c>
      <c r="M36" s="108"/>
      <c r="N36" s="115">
        <f t="shared" si="3"/>
        <v>1405.5909072128845</v>
      </c>
      <c r="O36" s="116">
        <f t="shared" si="18"/>
        <v>19806.596978613787</v>
      </c>
      <c r="P36" s="117">
        <f t="shared" si="4"/>
        <v>1877.7342346961348</v>
      </c>
      <c r="Q36" s="118">
        <f t="shared" si="19"/>
        <v>38830.519407771084</v>
      </c>
      <c r="R36" s="108">
        <f t="shared" ca="1" si="5"/>
        <v>227.83875116806755</v>
      </c>
      <c r="S36" s="115">
        <f t="shared" ca="1" si="6"/>
        <v>1177.752156044817</v>
      </c>
      <c r="T36" s="116">
        <f t="shared" ca="1" si="20"/>
        <v>16988.35995165024</v>
      </c>
      <c r="U36" s="119">
        <v>23</v>
      </c>
      <c r="V36" s="119"/>
      <c r="W36" s="115">
        <f t="shared" ca="1" si="7"/>
        <v>1608.2735376569474</v>
      </c>
      <c r="X36" s="120">
        <f t="shared" ca="1" si="8"/>
        <v>-180.88115049770477</v>
      </c>
      <c r="Y36" s="120">
        <f t="shared" ca="1" si="10"/>
        <v>-41.945787224400604</v>
      </c>
      <c r="Z36" s="115">
        <f t="shared" ca="1" si="11"/>
        <v>1363.6451199884839</v>
      </c>
      <c r="AA36" s="116">
        <f t="shared" ca="1" si="21"/>
        <v>19228.436883413568</v>
      </c>
      <c r="AB36" s="119">
        <v>23</v>
      </c>
    </row>
    <row r="37" spans="1:28" ht="15" x14ac:dyDescent="0.25">
      <c r="A37" s="51">
        <v>24</v>
      </c>
      <c r="B37" s="130">
        <f t="shared" si="22"/>
        <v>8016.3058953904601</v>
      </c>
      <c r="C37" s="122">
        <f t="shared" si="12"/>
        <v>0.80972786822125864</v>
      </c>
      <c r="D37" s="110">
        <f t="shared" ca="1" si="13"/>
        <v>0.04</v>
      </c>
      <c r="E37" s="111">
        <f t="shared" ca="1" si="14"/>
        <v>8336.9581312060782</v>
      </c>
      <c r="F37" s="112">
        <f t="shared" si="15"/>
        <v>7203.5907656121035</v>
      </c>
      <c r="G37" s="108">
        <f t="shared" ca="1" si="9"/>
        <v>2501.0874393618233</v>
      </c>
      <c r="H37" s="113">
        <f t="shared" ca="1" si="0"/>
        <v>4702.5033262502802</v>
      </c>
      <c r="I37" s="70">
        <f t="shared" ca="1" si="1"/>
        <v>1133.3673655939747</v>
      </c>
      <c r="J37" s="70">
        <f t="shared" ca="1" si="2"/>
        <v>0</v>
      </c>
      <c r="K37" s="108">
        <f t="shared" si="16"/>
        <v>20.499690434488159</v>
      </c>
      <c r="L37" s="108">
        <f t="shared" si="17"/>
        <v>23.653488962870966</v>
      </c>
      <c r="M37" s="108"/>
      <c r="N37" s="115">
        <f t="shared" si="3"/>
        <v>1476.7138071178567</v>
      </c>
      <c r="O37" s="116">
        <f t="shared" si="18"/>
        <v>21283.310785731643</v>
      </c>
      <c r="P37" s="117">
        <f t="shared" si="4"/>
        <v>1896.1360301961572</v>
      </c>
      <c r="Q37" s="118">
        <f t="shared" si="19"/>
        <v>40726.655437967238</v>
      </c>
      <c r="R37" s="108">
        <f t="shared" ca="1" si="5"/>
        <v>239.82766963876426</v>
      </c>
      <c r="S37" s="115">
        <f t="shared" ca="1" si="6"/>
        <v>1236.8861374790924</v>
      </c>
      <c r="T37" s="116">
        <f t="shared" ca="1" si="20"/>
        <v>18225.246089129334</v>
      </c>
      <c r="U37" s="119">
        <v>24</v>
      </c>
      <c r="V37" s="119"/>
      <c r="W37" s="115">
        <f t="shared" ca="1" si="7"/>
        <v>1692.9011974501009</v>
      </c>
      <c r="X37" s="120">
        <f t="shared" ca="1" si="8"/>
        <v>-559.5338318561262</v>
      </c>
      <c r="Y37" s="120">
        <f t="shared" ca="1" si="10"/>
        <v>-132.34927316161782</v>
      </c>
      <c r="Z37" s="115">
        <f t="shared" ca="1" si="11"/>
        <v>1344.364533956239</v>
      </c>
      <c r="AA37" s="116">
        <f t="shared" ca="1" si="21"/>
        <v>20572.801417369807</v>
      </c>
      <c r="AB37" s="119">
        <v>24</v>
      </c>
    </row>
    <row r="38" spans="1:28" ht="15" x14ac:dyDescent="0.25">
      <c r="A38" s="51">
        <v>25</v>
      </c>
      <c r="B38" s="130">
        <f t="shared" si="22"/>
        <v>7936.1428364365556</v>
      </c>
      <c r="C38" s="122">
        <f t="shared" si="12"/>
        <v>0.80163058953904598</v>
      </c>
      <c r="D38" s="110">
        <f t="shared" ca="1" si="13"/>
        <v>0.04</v>
      </c>
      <c r="E38" s="111">
        <f t="shared" ca="1" si="14"/>
        <v>8253.588549894017</v>
      </c>
      <c r="F38" s="112">
        <f t="shared" si="15"/>
        <v>7419.6984885804668</v>
      </c>
      <c r="G38" s="108">
        <f t="shared" ca="1" si="9"/>
        <v>2476.0765649682048</v>
      </c>
      <c r="H38" s="113">
        <f t="shared" ca="1" si="0"/>
        <v>4943.6219236122615</v>
      </c>
      <c r="I38" s="70">
        <f t="shared" ca="1" si="1"/>
        <v>833.89006131355018</v>
      </c>
      <c r="J38" s="70">
        <f t="shared" ca="1" si="2"/>
        <v>0</v>
      </c>
      <c r="K38" s="108">
        <f t="shared" si="16"/>
        <v>20.909684243177921</v>
      </c>
      <c r="L38" s="108">
        <f t="shared" si="17"/>
        <v>24.126558742128385</v>
      </c>
      <c r="M38" s="108"/>
      <c r="N38" s="115">
        <f t="shared" si="3"/>
        <v>1551.4355257580203</v>
      </c>
      <c r="O38" s="116">
        <f t="shared" si="18"/>
        <v>22834.746311489664</v>
      </c>
      <c r="P38" s="117">
        <f t="shared" si="4"/>
        <v>1914.7181632920795</v>
      </c>
      <c r="Q38" s="118">
        <f t="shared" si="19"/>
        <v>42641.373601259314</v>
      </c>
      <c r="R38" s="108">
        <f t="shared" ca="1" si="5"/>
        <v>252.12471810422531</v>
      </c>
      <c r="S38" s="115">
        <f t="shared" ca="1" si="6"/>
        <v>1299.3108076537949</v>
      </c>
      <c r="T38" s="116">
        <f t="shared" ca="1" si="20"/>
        <v>19524.556896783128</v>
      </c>
      <c r="U38" s="119">
        <v>25</v>
      </c>
      <c r="V38" s="119"/>
      <c r="W38" s="115">
        <f t="shared" ca="1" si="7"/>
        <v>1779.703892500414</v>
      </c>
      <c r="X38" s="120">
        <f t="shared" ca="1" si="8"/>
        <v>-945.81383118686426</v>
      </c>
      <c r="Y38" s="120">
        <f t="shared" ca="1" si="10"/>
        <v>-228.1923295724738</v>
      </c>
      <c r="Z38" s="115">
        <f t="shared" ca="1" si="11"/>
        <v>1323.2431961855464</v>
      </c>
      <c r="AA38" s="116">
        <f t="shared" ca="1" si="21"/>
        <v>21896.044613555354</v>
      </c>
      <c r="AB38" s="119">
        <v>25</v>
      </c>
    </row>
    <row r="39" spans="1:28" ht="15" x14ac:dyDescent="0.25">
      <c r="A39" s="51">
        <v>26</v>
      </c>
      <c r="B39" s="130">
        <f>B38-(1%*B38)</f>
        <v>7856.7814080721901</v>
      </c>
      <c r="C39" s="122">
        <f t="shared" si="12"/>
        <v>0.7936142836436556</v>
      </c>
      <c r="D39" s="110">
        <f t="shared" ca="1" si="13"/>
        <v>-0.11</v>
      </c>
      <c r="E39" s="111">
        <f t="shared" ca="1" si="14"/>
        <v>6992.5354531842495</v>
      </c>
      <c r="F39" s="112">
        <f t="shared" si="15"/>
        <v>7642.2894432378807</v>
      </c>
      <c r="G39" s="108">
        <f t="shared" ca="1" si="9"/>
        <v>2097.7606359552747</v>
      </c>
      <c r="H39" s="113">
        <f t="shared" ca="1" si="0"/>
        <v>4894.7748172289748</v>
      </c>
      <c r="I39" s="70">
        <f t="shared" ca="1" si="1"/>
        <v>-649.75399005363124</v>
      </c>
      <c r="J39" s="70">
        <f t="shared" ca="1" si="2"/>
        <v>-159.89854365140459</v>
      </c>
      <c r="K39" s="108">
        <f>K38+(K38*K$12)</f>
        <v>21.327877928041481</v>
      </c>
      <c r="L39" s="108">
        <f t="shared" si="17"/>
        <v>24.609089916970952</v>
      </c>
      <c r="M39" s="108"/>
      <c r="N39" s="115">
        <f t="shared" si="3"/>
        <v>1629.9381633613762</v>
      </c>
      <c r="O39" s="116">
        <f t="shared" si="18"/>
        <v>24464.684474851041</v>
      </c>
      <c r="P39" s="117">
        <f t="shared" si="4"/>
        <v>1933.4824012923418</v>
      </c>
      <c r="Q39" s="118">
        <f t="shared" si="19"/>
        <v>44574.856002551656</v>
      </c>
      <c r="R39" s="108">
        <f t="shared" ca="1" si="5"/>
        <v>249.6335156786777</v>
      </c>
      <c r="S39" s="115">
        <f t="shared" ca="1" si="6"/>
        <v>1220.4061040312938</v>
      </c>
      <c r="T39" s="116">
        <f ca="1">T38+S39</f>
        <v>20744.963000814423</v>
      </c>
      <c r="U39" s="119">
        <v>26</v>
      </c>
      <c r="V39" s="119"/>
      <c r="W39" s="115">
        <f t="shared" ca="1" si="7"/>
        <v>1762.1189342024309</v>
      </c>
      <c r="X39" s="120">
        <f t="shared" ca="1" si="8"/>
        <v>-2411.8729242560621</v>
      </c>
      <c r="Y39" s="120">
        <f t="shared" ca="1" si="10"/>
        <v>-593.53997661325093</v>
      </c>
      <c r="Z39" s="115">
        <f t="shared" ca="1" si="11"/>
        <v>1036.3981867481252</v>
      </c>
      <c r="AA39" s="116">
        <f ca="1">AA38+Z39</f>
        <v>22932.442800303477</v>
      </c>
      <c r="AB39" s="119">
        <v>26</v>
      </c>
    </row>
    <row r="40" spans="1:28" ht="15" x14ac:dyDescent="0.25">
      <c r="A40" s="51">
        <v>27</v>
      </c>
      <c r="B40" s="130">
        <f>B39-(1%*B39)</f>
        <v>7778.2135939914679</v>
      </c>
      <c r="C40" s="122">
        <f t="shared" si="12"/>
        <v>0.78567814080721898</v>
      </c>
      <c r="D40" s="110">
        <f t="shared" ca="1" si="13"/>
        <v>0.01</v>
      </c>
      <c r="E40" s="111">
        <f t="shared" ca="1" si="14"/>
        <v>7855.9957299313828</v>
      </c>
      <c r="F40" s="112">
        <f t="shared" si="15"/>
        <v>7871.5581265350174</v>
      </c>
      <c r="G40" s="108">
        <f t="shared" ca="1" si="9"/>
        <v>2356.7987189794148</v>
      </c>
      <c r="H40" s="113">
        <f t="shared" ca="1" si="0"/>
        <v>5499.197010951968</v>
      </c>
      <c r="I40" s="70">
        <f t="shared" ca="1" si="1"/>
        <v>-15.562396603634625</v>
      </c>
      <c r="J40" s="70">
        <f t="shared" ca="1" si="2"/>
        <v>-3.9063594568925599</v>
      </c>
      <c r="K40" s="108">
        <f>K39+(K39*K$12)</f>
        <v>21.754435486602311</v>
      </c>
      <c r="L40" s="108">
        <f t="shared" si="17"/>
        <v>25.101271715310371</v>
      </c>
      <c r="M40" s="108"/>
      <c r="N40" s="115">
        <f t="shared" si="3"/>
        <v>1712.413034427462</v>
      </c>
      <c r="O40" s="116">
        <f t="shared" si="18"/>
        <v>26177.097509278505</v>
      </c>
      <c r="P40" s="117">
        <f t="shared" si="4"/>
        <v>1952.4305288250066</v>
      </c>
      <c r="Q40" s="118">
        <f t="shared" si="19"/>
        <v>46527.28653137666</v>
      </c>
      <c r="R40" s="108">
        <f t="shared" ca="1" si="5"/>
        <v>280.45904755855031</v>
      </c>
      <c r="S40" s="115">
        <f t="shared" ca="1" si="6"/>
        <v>1428.0476274120192</v>
      </c>
      <c r="T40" s="116">
        <f ca="1">T39+S40</f>
        <v>22173.010628226442</v>
      </c>
      <c r="U40" s="119">
        <v>27</v>
      </c>
      <c r="V40" s="119"/>
      <c r="W40" s="115">
        <f t="shared" ca="1" si="7"/>
        <v>1979.7109239427084</v>
      </c>
      <c r="X40" s="120">
        <f t="shared" ca="1" si="8"/>
        <v>-1995.2733205463428</v>
      </c>
      <c r="Y40" s="120">
        <f t="shared" ca="1" si="10"/>
        <v>-500.83897765343318</v>
      </c>
      <c r="Z40" s="115">
        <f t="shared" ca="1" si="11"/>
        <v>1211.5740567740288</v>
      </c>
      <c r="AA40" s="116">
        <f ca="1">AA39+Z40</f>
        <v>24144.016857077506</v>
      </c>
      <c r="AB40" s="119">
        <v>27</v>
      </c>
    </row>
    <row r="41" spans="1:28" ht="15" x14ac:dyDescent="0.25">
      <c r="A41" s="51">
        <v>28</v>
      </c>
      <c r="B41" s="130">
        <f>B40-(1%*B40)</f>
        <v>7700.4314580515529</v>
      </c>
      <c r="C41" s="122">
        <f t="shared" si="12"/>
        <v>0.77782135939914676</v>
      </c>
      <c r="D41" s="110">
        <f t="shared" ca="1" si="13"/>
        <v>-0.06</v>
      </c>
      <c r="E41" s="111">
        <f t="shared" ca="1" si="14"/>
        <v>7238.4055705684596</v>
      </c>
      <c r="F41" s="112">
        <f t="shared" si="15"/>
        <v>8107.7048703310684</v>
      </c>
      <c r="G41" s="108">
        <f t="shared" ca="1" si="9"/>
        <v>2171.521671170538</v>
      </c>
      <c r="H41" s="113">
        <f t="shared" ca="1" si="0"/>
        <v>5066.8838993979216</v>
      </c>
      <c r="I41" s="70">
        <f t="shared" ca="1" si="1"/>
        <v>-869.29929976260883</v>
      </c>
      <c r="J41" s="70">
        <f t="shared" ca="1" si="2"/>
        <v>-222.5692828377569</v>
      </c>
      <c r="K41" s="108">
        <f>K40+(K40*K$12)</f>
        <v>22.189524196334357</v>
      </c>
      <c r="L41" s="108">
        <f t="shared" si="17"/>
        <v>25.60329714961658</v>
      </c>
      <c r="M41" s="108"/>
      <c r="N41" s="115">
        <f t="shared" si="3"/>
        <v>1799.0611339694917</v>
      </c>
      <c r="O41" s="116">
        <f t="shared" si="18"/>
        <v>27976.158643247996</v>
      </c>
      <c r="P41" s="117">
        <f t="shared" si="4"/>
        <v>1971.5643480074918</v>
      </c>
      <c r="Q41" s="118">
        <f t="shared" si="19"/>
        <v>48498.850879384154</v>
      </c>
      <c r="R41" s="108">
        <f t="shared" ca="1" si="5"/>
        <v>258.41107886929399</v>
      </c>
      <c r="S41" s="115">
        <f t="shared" ca="1" si="6"/>
        <v>1318.0807722624409</v>
      </c>
      <c r="T41" s="116">
        <f ca="1">T40+S41</f>
        <v>23491.091400488884</v>
      </c>
      <c r="U41" s="119">
        <v>28</v>
      </c>
      <c r="V41" s="119"/>
      <c r="W41" s="115">
        <f t="shared" ca="1" si="7"/>
        <v>1824.0782037832516</v>
      </c>
      <c r="X41" s="120">
        <f t="shared" ca="1" si="8"/>
        <v>-2693.3775035458602</v>
      </c>
      <c r="Y41" s="120">
        <f t="shared" ca="1" si="10"/>
        <v>-689.59344559377143</v>
      </c>
      <c r="Z41" s="115">
        <f t="shared" ca="1" si="11"/>
        <v>1109.4676883757202</v>
      </c>
      <c r="AA41" s="116">
        <f ca="1">AA40+Z41</f>
        <v>25253.484545453226</v>
      </c>
      <c r="AB41" s="119">
        <v>28</v>
      </c>
    </row>
    <row r="42" spans="1:28" ht="15" x14ac:dyDescent="0.25">
      <c r="A42" s="51">
        <v>29</v>
      </c>
      <c r="B42" s="130">
        <f>B41-(1%*B41)</f>
        <v>7623.4271434710372</v>
      </c>
      <c r="C42" s="122">
        <f t="shared" si="12"/>
        <v>0.77004314580515532</v>
      </c>
      <c r="D42" s="110">
        <f t="shared" ca="1" si="13"/>
        <v>-0.05</v>
      </c>
      <c r="E42" s="111">
        <f t="shared" ca="1" si="14"/>
        <v>7242.2557862974854</v>
      </c>
      <c r="F42" s="112">
        <f t="shared" si="15"/>
        <v>8350.9360164410009</v>
      </c>
      <c r="G42" s="108">
        <f t="shared" ca="1" si="9"/>
        <v>2172.6767358892457</v>
      </c>
      <c r="H42" s="113">
        <f t="shared" ca="1" si="0"/>
        <v>5069.5790504082397</v>
      </c>
      <c r="I42" s="70">
        <f t="shared" ca="1" si="1"/>
        <v>-1108.6802301435155</v>
      </c>
      <c r="J42" s="70">
        <f t="shared" ca="1" si="2"/>
        <v>-289.53586763795118</v>
      </c>
      <c r="K42" s="108">
        <f>K41+(K41*K$12)</f>
        <v>22.633314680261044</v>
      </c>
      <c r="L42" s="108">
        <f t="shared" si="17"/>
        <v>26.115363092608913</v>
      </c>
      <c r="M42" s="108"/>
      <c r="N42" s="115">
        <f t="shared" si="3"/>
        <v>1890.0936273483478</v>
      </c>
      <c r="O42" s="116">
        <f t="shared" si="18"/>
        <v>29866.252270596346</v>
      </c>
      <c r="P42" s="117">
        <f t="shared" si="4"/>
        <v>1990.8856786179649</v>
      </c>
      <c r="Q42" s="118">
        <f t="shared" si="19"/>
        <v>50489.736558002121</v>
      </c>
      <c r="R42" s="108">
        <f t="shared" ca="1" si="5"/>
        <v>258.54853157082022</v>
      </c>
      <c r="S42" s="115">
        <f t="shared" ca="1" si="6"/>
        <v>1342.0092281395764</v>
      </c>
      <c r="T42" s="116">
        <f ca="1">T41+S42</f>
        <v>24833.100628628461</v>
      </c>
      <c r="U42" s="119">
        <v>29</v>
      </c>
      <c r="V42" s="119"/>
      <c r="W42" s="115">
        <f t="shared" ca="1" si="7"/>
        <v>1825.0484581469661</v>
      </c>
      <c r="X42" s="120">
        <f t="shared" ca="1" si="8"/>
        <v>-2933.7286882904818</v>
      </c>
      <c r="Y42" s="120">
        <f t="shared" ca="1" si="10"/>
        <v>-766.15389909909209</v>
      </c>
      <c r="Z42" s="115">
        <f t="shared" ca="1" si="11"/>
        <v>1123.9397282492557</v>
      </c>
      <c r="AA42" s="116">
        <f ca="1">AA41+Z42</f>
        <v>26377.424273702483</v>
      </c>
      <c r="AB42" s="119">
        <v>29</v>
      </c>
    </row>
    <row r="43" spans="1:28" ht="15" x14ac:dyDescent="0.25">
      <c r="A43" s="51">
        <v>30</v>
      </c>
      <c r="B43" s="130">
        <f>B42-(1%*B42)</f>
        <v>7547.1928720363267</v>
      </c>
      <c r="C43" s="122">
        <f t="shared" si="12"/>
        <v>0.76234271434710366</v>
      </c>
      <c r="D43" s="110">
        <f t="shared" ca="1" si="13"/>
        <v>-0.14000000000000001</v>
      </c>
      <c r="E43" s="111">
        <f t="shared" ca="1" si="14"/>
        <v>6490.585869951241</v>
      </c>
      <c r="F43" s="112">
        <f t="shared" si="15"/>
        <v>8601.4640969342308</v>
      </c>
      <c r="G43" s="108">
        <f t="shared" ca="1" si="9"/>
        <v>1947.1757609853721</v>
      </c>
      <c r="H43" s="113">
        <f t="shared" ca="1" si="0"/>
        <v>4543.4101089658689</v>
      </c>
      <c r="I43" s="70">
        <f t="shared" ca="1" si="1"/>
        <v>-2110.8782269829899</v>
      </c>
      <c r="J43" s="70">
        <f t="shared" ca="1" si="2"/>
        <v>-562.28878368782182</v>
      </c>
      <c r="K43" s="108">
        <f>K42+(K42*K$12)</f>
        <v>23.085980973866267</v>
      </c>
      <c r="L43" s="108">
        <f t="shared" si="17"/>
        <v>26.63767035446109</v>
      </c>
      <c r="M43" s="108"/>
      <c r="N43" s="123">
        <f t="shared" si="3"/>
        <v>1985.7323648921745</v>
      </c>
      <c r="O43" s="124">
        <f t="shared" si="18"/>
        <v>31851.984635488519</v>
      </c>
      <c r="P43" s="125">
        <f t="shared" si="4"/>
        <v>2010.396358268421</v>
      </c>
      <c r="Q43" s="126">
        <f t="shared" si="19"/>
        <v>52500.132916270544</v>
      </c>
      <c r="R43" s="108">
        <f t="shared" ca="1" si="5"/>
        <v>231.71391555725927</v>
      </c>
      <c r="S43" s="123">
        <f t="shared" ca="1" si="6"/>
        <v>1191.7296656470935</v>
      </c>
      <c r="T43" s="124">
        <f ca="1">T42+S43</f>
        <v>26024.830294275554</v>
      </c>
      <c r="U43" s="119">
        <v>30</v>
      </c>
      <c r="V43" s="119"/>
      <c r="W43" s="123">
        <f t="shared" ca="1" si="7"/>
        <v>1635.6276392277127</v>
      </c>
      <c r="X43" s="127">
        <f t="shared" ca="1" si="8"/>
        <v>-3746.5058662107022</v>
      </c>
      <c r="Y43" s="127">
        <f t="shared" ca="1" si="10"/>
        <v>-997.9818824517539</v>
      </c>
      <c r="Z43" s="123">
        <f t="shared" ca="1" si="11"/>
        <v>987.75048244042057</v>
      </c>
      <c r="AA43" s="124">
        <f ca="1">AA42+Z43</f>
        <v>27365.174756142904</v>
      </c>
      <c r="AB43" s="119">
        <v>30</v>
      </c>
    </row>
    <row r="44" spans="1:28" x14ac:dyDescent="0.2">
      <c r="B44" s="121"/>
      <c r="C44" s="122"/>
      <c r="D44" s="111"/>
      <c r="E44" s="111"/>
      <c r="F44" s="111"/>
      <c r="G44" s="108"/>
      <c r="H44" s="71"/>
      <c r="I44" s="108"/>
      <c r="J44" s="108">
        <f ca="1">SUM(J14:J43)</f>
        <v>-1238.198837271827</v>
      </c>
      <c r="K44" s="108"/>
      <c r="L44" s="108"/>
      <c r="M44" s="108"/>
      <c r="N44" s="108"/>
      <c r="O44" s="108"/>
      <c r="P44" s="108"/>
      <c r="Q44" s="108"/>
      <c r="R44" s="108"/>
      <c r="W44" s="108"/>
      <c r="X44" s="108"/>
      <c r="Y44" s="108"/>
    </row>
    <row r="45" spans="1:28" x14ac:dyDescent="0.2">
      <c r="B45" s="121"/>
      <c r="C45" s="122"/>
      <c r="D45" s="111"/>
      <c r="E45" s="111"/>
      <c r="F45" s="111"/>
      <c r="G45" s="108"/>
      <c r="H45" s="71"/>
      <c r="I45" s="108"/>
      <c r="J45" s="108"/>
      <c r="K45" s="108"/>
      <c r="L45" s="108"/>
      <c r="M45" s="108"/>
      <c r="P45" s="108"/>
      <c r="Q45" s="128"/>
      <c r="R45" s="108"/>
      <c r="T45" s="128"/>
      <c r="W45" s="108"/>
      <c r="X45" s="108"/>
      <c r="Y45" s="108"/>
      <c r="AA45" s="128"/>
    </row>
    <row r="46" spans="1:28" x14ac:dyDescent="0.2">
      <c r="B46" s="121"/>
      <c r="C46" s="122"/>
      <c r="D46" s="111"/>
      <c r="E46" s="111"/>
      <c r="F46" s="111"/>
      <c r="G46" s="108"/>
      <c r="H46" s="108"/>
      <c r="I46" s="108"/>
      <c r="J46" s="108"/>
      <c r="K46" s="108"/>
      <c r="L46" s="108"/>
      <c r="M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</row>
    <row r="47" spans="1:28" x14ac:dyDescent="0.2">
      <c r="B47" s="121"/>
      <c r="C47" s="122"/>
      <c r="D47" s="111"/>
      <c r="E47" s="111"/>
      <c r="F47" s="111"/>
      <c r="G47" s="108"/>
      <c r="H47" s="108"/>
      <c r="I47" s="108"/>
      <c r="J47" s="108"/>
      <c r="K47" s="108"/>
      <c r="L47" s="108"/>
      <c r="M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</row>
    <row r="48" spans="1:28" x14ac:dyDescent="0.2">
      <c r="B48" s="121"/>
      <c r="C48" s="122"/>
      <c r="D48" s="111"/>
      <c r="E48" s="111"/>
      <c r="F48" s="111"/>
      <c r="G48" s="108"/>
      <c r="H48" s="108"/>
      <c r="I48" s="108"/>
      <c r="J48" s="108"/>
      <c r="K48" s="108"/>
      <c r="L48" s="108"/>
      <c r="M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</row>
    <row r="49" spans="2:25" x14ac:dyDescent="0.2">
      <c r="B49" s="121"/>
      <c r="C49" s="122"/>
      <c r="G49" s="108"/>
      <c r="H49" s="108"/>
      <c r="I49" s="108"/>
      <c r="J49" s="108"/>
      <c r="K49" s="108"/>
      <c r="L49" s="108"/>
      <c r="M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</row>
    <row r="50" spans="2:25" x14ac:dyDescent="0.2">
      <c r="B50" s="121"/>
      <c r="C50" s="122"/>
      <c r="G50" s="108"/>
      <c r="H50" s="108"/>
      <c r="I50" s="108"/>
      <c r="J50" s="108"/>
      <c r="K50" s="108"/>
      <c r="L50" s="108"/>
      <c r="M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</row>
    <row r="51" spans="2:25" x14ac:dyDescent="0.2">
      <c r="B51" s="121"/>
      <c r="C51" s="122"/>
      <c r="G51" s="108"/>
      <c r="H51" s="108"/>
      <c r="I51" s="108"/>
      <c r="J51" s="108"/>
      <c r="K51" s="108"/>
      <c r="L51" s="108"/>
      <c r="M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</row>
  </sheetData>
  <mergeCells count="4">
    <mergeCell ref="N11:O11"/>
    <mergeCell ref="P11:Q11"/>
    <mergeCell ref="S11:T11"/>
    <mergeCell ref="Z11:AA11"/>
  </mergeCells>
  <conditionalFormatting sqref="AA14:AA43">
    <cfRule type="cellIs" dxfId="7" priority="9" stopIfTrue="1" operator="greaterThan">
      <formula>$C$5</formula>
    </cfRule>
    <cfRule type="cellIs" dxfId="6" priority="10" stopIfTrue="1" operator="lessThan">
      <formula>$C$5</formula>
    </cfRule>
  </conditionalFormatting>
  <conditionalFormatting sqref="Q14:Q43">
    <cfRule type="cellIs" dxfId="5" priority="5" stopIfTrue="1" operator="greaterThan">
      <formula>$C$5</formula>
    </cfRule>
    <cfRule type="cellIs" dxfId="4" priority="6" stopIfTrue="1" operator="lessThan">
      <formula>$C$5</formula>
    </cfRule>
  </conditionalFormatting>
  <conditionalFormatting sqref="T14:T43">
    <cfRule type="cellIs" dxfId="3" priority="3" stopIfTrue="1" operator="greaterThan">
      <formula>$C$5</formula>
    </cfRule>
    <cfRule type="cellIs" dxfId="2" priority="4" stopIfTrue="1" operator="lessThan">
      <formula>$C$5</formula>
    </cfRule>
  </conditionalFormatting>
  <conditionalFormatting sqref="O14:O43">
    <cfRule type="cellIs" dxfId="1" priority="1" stopIfTrue="1" operator="greaterThan">
      <formula>$C$5</formula>
    </cfRule>
    <cfRule type="cellIs" dxfId="0" priority="2" stopIfTrue="1" operator="lessThan">
      <formula>$C$5</formula>
    </cfRule>
  </conditionalFormatting>
  <pageMargins left="0.75" right="0.75" top="1" bottom="1" header="0.51180555555555551" footer="0.51180555555555551"/>
  <pageSetup paperSize="9" scale="72" firstPageNumber="0" orientation="landscape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7C7D-FB54-49AA-A93F-4C7C97D56C5F}">
  <dimension ref="A1:H36"/>
  <sheetViews>
    <sheetView workbookViewId="0"/>
  </sheetViews>
  <sheetFormatPr defaultRowHeight="12.75" x14ac:dyDescent="0.2"/>
  <cols>
    <col min="2" max="2" width="22" customWidth="1"/>
    <col min="3" max="3" width="1.125" customWidth="1"/>
    <col min="4" max="4" width="17.625" customWidth="1"/>
    <col min="5" max="5" width="1.25" customWidth="1"/>
    <col min="6" max="6" width="15" customWidth="1"/>
    <col min="7" max="7" width="0.875" customWidth="1"/>
  </cols>
  <sheetData>
    <row r="1" spans="1:8" ht="20.25" thickBot="1" x14ac:dyDescent="0.35">
      <c r="A1" s="46" t="s">
        <v>80</v>
      </c>
      <c r="B1" s="46"/>
      <c r="C1" s="46"/>
      <c r="D1" s="46"/>
      <c r="E1" s="46"/>
      <c r="F1" s="46"/>
      <c r="G1" s="46"/>
    </row>
    <row r="2" spans="1:8" ht="13.5" thickTop="1" x14ac:dyDescent="0.2"/>
    <row r="3" spans="1:8" ht="18" thickBot="1" x14ac:dyDescent="0.35">
      <c r="B3" s="47" t="s">
        <v>81</v>
      </c>
      <c r="C3" s="47"/>
      <c r="D3" s="47"/>
      <c r="E3" s="47"/>
      <c r="F3" s="47"/>
      <c r="G3" s="47"/>
      <c r="H3" t="s">
        <v>82</v>
      </c>
    </row>
    <row r="4" spans="1:8" ht="89.25" customHeight="1" thickTop="1" x14ac:dyDescent="0.2">
      <c r="A4" t="s">
        <v>79</v>
      </c>
      <c r="B4" s="22" t="str" cm="1">
        <f t="array" ref="B4:C4">'LT skaiciuokle'!P11:Q11</f>
        <v>Teorinis atsipirkimas: kiek sutaupyčiau, jei neturėdamas jėgainės būčiau pirkęs visą savo jėgainės gaminamą elektros kiekį</v>
      </c>
      <c r="C4" s="22">
        <v>0</v>
      </c>
      <c r="D4" s="22" t="str" cm="1">
        <f t="array" ref="D4:E4">'LT skaiciuokle'!S11:T11</f>
        <v>Hardcore atsipirkimas: elektros kaina kurią būčiau mokėjęs be elektrinės minus pasaugojimo kaina, minus papildomai pirktos  elektros kaina. Pasaugojimas apmokamas centais</v>
      </c>
      <c r="E4" s="22">
        <v>0</v>
      </c>
      <c r="F4" s="22" t="str" cm="1">
        <f t="array" ref="F4:G4">+'LT skaiciuokle'!Z11:AA11</f>
        <v>Hardcore atsipirkimas: elektros kaina kurią būčiau mokėjęs be elektrinės minus pasaugojimo kaina, minus papildomai pirktos  elektros kaina. Pasaugojimas apmokamas kilovatvalandėmis</v>
      </c>
      <c r="G4" s="22">
        <v>0</v>
      </c>
    </row>
    <row r="5" spans="1:8" x14ac:dyDescent="0.2">
      <c r="A5">
        <v>1</v>
      </c>
      <c r="B5" s="23">
        <f>-'LT skaiciuokle'!C6+'LT skaiciuokle'!P14</f>
        <v>-3795</v>
      </c>
      <c r="D5" s="23">
        <f ca="1">-'LT skaiciuokle'!C6+'LT skaiciuokle'!S14</f>
        <v>-4811.4007000000001</v>
      </c>
      <c r="F5" s="23">
        <f ca="1">+-'LT skaiciuokle'!C6+'LT skaiciuokle'!Z14</f>
        <v>-4805.5</v>
      </c>
    </row>
    <row r="6" spans="1:8" x14ac:dyDescent="0.2">
      <c r="A6">
        <v>2</v>
      </c>
      <c r="B6" s="23">
        <f>+'LT skaiciuokle'!P15</f>
        <v>1514.7</v>
      </c>
      <c r="D6" s="23">
        <f ca="1">+'LT skaiciuokle'!S15</f>
        <v>468.84810000000004</v>
      </c>
      <c r="F6" s="23">
        <f ca="1">+'LT skaiciuokle'!Z15</f>
        <v>498.50970000000001</v>
      </c>
    </row>
    <row r="7" spans="1:8" x14ac:dyDescent="0.2">
      <c r="A7">
        <v>3</v>
      </c>
      <c r="B7" s="23">
        <f>+'LT skaiciuokle'!P16</f>
        <v>1544.9939999999999</v>
      </c>
      <c r="D7" s="23">
        <f ca="1">+'LT skaiciuokle'!S16</f>
        <v>500.43825581999994</v>
      </c>
      <c r="F7" s="23">
        <f ca="1">+'LT skaiciuokle'!Z16</f>
        <v>523.73429081999996</v>
      </c>
    </row>
    <row r="8" spans="1:8" x14ac:dyDescent="0.2">
      <c r="A8">
        <v>4</v>
      </c>
      <c r="B8" s="23">
        <f>+'LT skaiciuokle'!P17</f>
        <v>1560.1349412</v>
      </c>
      <c r="D8" s="23">
        <f ca="1">+'LT skaiciuokle'!S17</f>
        <v>520.77226288549207</v>
      </c>
      <c r="F8" s="23">
        <f ca="1">+'LT skaiciuokle'!Z17</f>
        <v>550.235245935492</v>
      </c>
    </row>
    <row r="9" spans="1:8" x14ac:dyDescent="0.2">
      <c r="A9">
        <v>5</v>
      </c>
      <c r="B9" s="23">
        <f>+'LT skaiciuokle'!P18</f>
        <v>1575.42426362376</v>
      </c>
      <c r="D9" s="23">
        <f ca="1">+'LT skaiciuokle'!S18</f>
        <v>524.44221874832783</v>
      </c>
      <c r="F9" s="23">
        <f ca="1">+'LT skaiciuokle'!Z18</f>
        <v>578.0771493798278</v>
      </c>
    </row>
    <row r="10" spans="1:8" x14ac:dyDescent="0.2">
      <c r="A10">
        <v>6</v>
      </c>
      <c r="B10" s="23">
        <f>+'LT skaiciuokle'!P19</f>
        <v>1590.8634214072729</v>
      </c>
      <c r="D10" s="23">
        <f ca="1">+'LT skaiciuokle'!S19</f>
        <v>519.39391909860205</v>
      </c>
      <c r="F10" s="23">
        <f ca="1">+'LT skaiciuokle'!Z19</f>
        <v>607.32785313844704</v>
      </c>
    </row>
    <row r="11" spans="1:8" x14ac:dyDescent="0.2">
      <c r="A11">
        <v>7</v>
      </c>
      <c r="B11" s="23">
        <f>+'LT skaiciuokle'!P20</f>
        <v>1606.4538829370642</v>
      </c>
      <c r="D11" s="23">
        <f ca="1">+'LT skaiciuokle'!S20</f>
        <v>535.09701916883319</v>
      </c>
      <c r="F11" s="23">
        <f ca="1">+'LT skaiciuokle'!Z20</f>
        <v>638.05864250725244</v>
      </c>
    </row>
    <row r="12" spans="1:8" x14ac:dyDescent="0.2">
      <c r="A12">
        <v>8</v>
      </c>
      <c r="B12" s="23">
        <f>+'LT skaiciuokle'!P21</f>
        <v>1622.1971309898477</v>
      </c>
      <c r="D12" s="23">
        <f ca="1">+'LT skaiciuokle'!S21</f>
        <v>578.2475294847153</v>
      </c>
      <c r="F12" s="23">
        <f ca="1">+'LT skaiciuokle'!Z21</f>
        <v>670.3444098181194</v>
      </c>
    </row>
    <row r="13" spans="1:8" x14ac:dyDescent="0.2">
      <c r="A13">
        <v>9</v>
      </c>
      <c r="B13" s="23">
        <f>+'LT skaiciuokle'!P22</f>
        <v>1638.0946628735483</v>
      </c>
      <c r="D13" s="23">
        <f ca="1">+'LT skaiciuokle'!S22</f>
        <v>599.65210467599957</v>
      </c>
      <c r="F13" s="23">
        <f ca="1">+'LT skaiciuokle'!Z22</f>
        <v>704.26383695491631</v>
      </c>
    </row>
    <row r="14" spans="1:8" x14ac:dyDescent="0.2">
      <c r="A14">
        <v>10</v>
      </c>
      <c r="B14" s="23">
        <f>+'LT skaiciuokle'!P23</f>
        <v>1654.147990569709</v>
      </c>
      <c r="D14" s="23">
        <f ca="1">+'LT skaiciuokle'!S23</f>
        <v>646.66679347734123</v>
      </c>
      <c r="F14" s="23">
        <f ca="1">+'LT skaiciuokle'!Z23</f>
        <v>739.89958710483495</v>
      </c>
    </row>
    <row r="15" spans="1:8" x14ac:dyDescent="0.2">
      <c r="A15">
        <v>11</v>
      </c>
      <c r="B15" s="23">
        <f>+'LT skaiciuokle'!P24</f>
        <v>1670.3586408772919</v>
      </c>
      <c r="D15" s="23">
        <f ca="1">+'LT skaiciuokle'!S24</f>
        <v>689.29951328082791</v>
      </c>
      <c r="F15" s="23">
        <f ca="1">+'LT skaiciuokle'!Z24</f>
        <v>777.33850621233955</v>
      </c>
    </row>
    <row r="16" spans="1:8" x14ac:dyDescent="0.2">
      <c r="A16">
        <v>12</v>
      </c>
      <c r="B16" s="23">
        <f>+'LT skaiciuokle'!P25</f>
        <v>1686.7281555578895</v>
      </c>
      <c r="D16" s="23">
        <f ca="1">+'LT skaiciuokle'!S25</f>
        <v>686.29752046956787</v>
      </c>
      <c r="F16" s="23">
        <f ca="1">+'LT skaiciuokle'!Z25</f>
        <v>816.67183462668402</v>
      </c>
    </row>
    <row r="17" spans="1:6" x14ac:dyDescent="0.2">
      <c r="A17">
        <v>13</v>
      </c>
      <c r="B17" s="23">
        <f>+'LT skaiciuokle'!P26</f>
        <v>1703.258091482357</v>
      </c>
      <c r="D17" s="23">
        <f ca="1">+'LT skaiciuokle'!S26</f>
        <v>732.31652833199337</v>
      </c>
      <c r="F17" s="23">
        <f ca="1">+'LT skaiciuokle'!Z26</f>
        <v>857.99542945879409</v>
      </c>
    </row>
    <row r="18" spans="1:6" x14ac:dyDescent="0.2">
      <c r="A18">
        <v>14</v>
      </c>
      <c r="B18" s="23">
        <f>+'LT skaiciuokle'!P27</f>
        <v>1719.950020778884</v>
      </c>
      <c r="D18" s="23">
        <f ca="1">+'LT skaiciuokle'!S27</f>
        <v>778.57719019395074</v>
      </c>
      <c r="F18" s="23">
        <f ca="1">+'LT skaiciuokle'!Z27</f>
        <v>901.40999818940907</v>
      </c>
    </row>
    <row r="19" spans="1:6" x14ac:dyDescent="0.2">
      <c r="A19">
        <v>15</v>
      </c>
      <c r="B19" s="23">
        <f>+'LT skaiciuokle'!P28</f>
        <v>1736.8055309825172</v>
      </c>
      <c r="D19" s="23">
        <f ca="1">+'LT skaiciuokle'!S28</f>
        <v>779.57437585703008</v>
      </c>
      <c r="F19" s="23">
        <f ca="1">+'LT skaiciuokle'!Z28</f>
        <v>947.02134409779308</v>
      </c>
    </row>
    <row r="20" spans="1:6" x14ac:dyDescent="0.2">
      <c r="A20">
        <v>16</v>
      </c>
      <c r="B20" s="23">
        <f>+'LT skaiciuokle'!P29</f>
        <v>1753.8262251861461</v>
      </c>
      <c r="D20" s="23">
        <f ca="1">+'LT skaiciuokle'!S29</f>
        <v>835.18473667548983</v>
      </c>
      <c r="F20" s="23">
        <f ca="1">+'LT skaiciuokle'!Z29</f>
        <v>994.94062410914137</v>
      </c>
    </row>
    <row r="21" spans="1:6" x14ac:dyDescent="0.2">
      <c r="A21">
        <v>17</v>
      </c>
      <c r="B21" s="23">
        <f>+'LT skaiciuokle'!P30</f>
        <v>1771.0137221929701</v>
      </c>
      <c r="D21" s="23">
        <f ca="1">+'LT skaiciuokle'!S30</f>
        <v>884.73689072394779</v>
      </c>
      <c r="F21" s="23">
        <f ca="1">+'LT skaiciuokle'!Z30</f>
        <v>1045.2846196890639</v>
      </c>
    </row>
    <row r="22" spans="1:6" x14ac:dyDescent="0.2">
      <c r="A22">
        <v>18</v>
      </c>
      <c r="B22" s="23">
        <f>+'LT skaiciuokle'!P31</f>
        <v>1788.3696566704612</v>
      </c>
      <c r="D22" s="23">
        <f ca="1">+'LT skaiciuokle'!S31</f>
        <v>942.91789030163784</v>
      </c>
      <c r="F22" s="23">
        <f ca="1">+'LT skaiciuokle'!Z31</f>
        <v>1098.1760214453304</v>
      </c>
    </row>
    <row r="23" spans="1:6" x14ac:dyDescent="0.2">
      <c r="A23">
        <v>19</v>
      </c>
      <c r="B23" s="23">
        <f>+'LT skaiciuokle'!P32</f>
        <v>1805.8956793058314</v>
      </c>
      <c r="D23" s="23">
        <f ca="1">+'LT skaiciuokle'!S32</f>
        <v>942.59146682260371</v>
      </c>
      <c r="F23" s="23">
        <f ca="1">+'LT skaiciuokle'!Z32</f>
        <v>984.01814853122596</v>
      </c>
    </row>
    <row r="24" spans="1:6" x14ac:dyDescent="0.2">
      <c r="A24">
        <v>20</v>
      </c>
      <c r="B24" s="23">
        <f>+'LT skaiciuokle'!P33</f>
        <v>1823.5934569630285</v>
      </c>
      <c r="D24" s="23">
        <f ca="1">+'LT skaiciuokle'!S33</f>
        <v>990.40610550509132</v>
      </c>
      <c r="F24" s="23">
        <f ca="1">+'LT skaiciuokle'!Z33</f>
        <v>966.86627204858951</v>
      </c>
    </row>
    <row r="25" spans="1:6" x14ac:dyDescent="0.2">
      <c r="A25">
        <v>21</v>
      </c>
      <c r="B25" s="23">
        <f>+'LT skaiciuokle'!P34</f>
        <v>1841.4646728412661</v>
      </c>
      <c r="D25" s="23">
        <f ca="1">+'LT skaiciuokle'!S34</f>
        <v>1053.5404818664092</v>
      </c>
      <c r="F25" s="23">
        <f ca="1">+'LT skaiciuokle'!Z34</f>
        <v>1152.2247530577206</v>
      </c>
    </row>
    <row r="26" spans="1:6" x14ac:dyDescent="0.2">
      <c r="A26">
        <v>22</v>
      </c>
      <c r="B26" s="23">
        <f>+'LT skaiciuokle'!P35</f>
        <v>1859.5110266351105</v>
      </c>
      <c r="D26" s="23">
        <f ca="1">+'LT skaiciuokle'!S35</f>
        <v>1133.0075922175624</v>
      </c>
      <c r="F26" s="23">
        <f ca="1">+'LT skaiciuokle'!Z35</f>
        <v>1337.8934963000997</v>
      </c>
    </row>
    <row r="27" spans="1:6" x14ac:dyDescent="0.2">
      <c r="A27">
        <v>23</v>
      </c>
      <c r="B27" s="23">
        <f>+'LT skaiciuokle'!P36</f>
        <v>1877.7342346961348</v>
      </c>
      <c r="D27" s="23">
        <f ca="1">+'LT skaiciuokle'!S36</f>
        <v>1177.752156044817</v>
      </c>
      <c r="F27" s="23">
        <f ca="1">+'LT skaiciuokle'!Z36</f>
        <v>1363.6451199884839</v>
      </c>
    </row>
    <row r="28" spans="1:6" x14ac:dyDescent="0.2">
      <c r="A28">
        <v>24</v>
      </c>
      <c r="B28" s="23">
        <f>+'LT skaiciuokle'!P37</f>
        <v>1896.1360301961572</v>
      </c>
      <c r="D28" s="23">
        <f ca="1">+'LT skaiciuokle'!S37</f>
        <v>1236.8861374790924</v>
      </c>
      <c r="F28" s="23">
        <f ca="1">+'LT skaiciuokle'!Z37</f>
        <v>1344.364533956239</v>
      </c>
    </row>
    <row r="29" spans="1:6" x14ac:dyDescent="0.2">
      <c r="A29">
        <v>25</v>
      </c>
      <c r="B29" s="23">
        <f>+'LT skaiciuokle'!P38</f>
        <v>1914.7181632920795</v>
      </c>
      <c r="D29" s="23">
        <f ca="1">+'LT skaiciuokle'!S38</f>
        <v>1299.3108076537949</v>
      </c>
      <c r="F29" s="23">
        <f ca="1">+'LT skaiciuokle'!Z38</f>
        <v>1323.2431961855464</v>
      </c>
    </row>
    <row r="30" spans="1:6" x14ac:dyDescent="0.2">
      <c r="A30">
        <v>26</v>
      </c>
      <c r="B30" s="23">
        <f>+'LT skaiciuokle'!P39</f>
        <v>1933.4824012923418</v>
      </c>
      <c r="D30" s="23">
        <f ca="1">+'LT skaiciuokle'!S39</f>
        <v>1220.4061040312938</v>
      </c>
      <c r="F30" s="23">
        <f ca="1">+'LT skaiciuokle'!Z39</f>
        <v>1036.3981867481252</v>
      </c>
    </row>
    <row r="31" spans="1:6" x14ac:dyDescent="0.2">
      <c r="A31">
        <v>27</v>
      </c>
      <c r="B31" s="23">
        <f>+'LT skaiciuokle'!P40</f>
        <v>1952.4305288250066</v>
      </c>
      <c r="D31" s="23">
        <f ca="1">+'LT skaiciuokle'!S40</f>
        <v>1428.0476274120192</v>
      </c>
      <c r="F31" s="23">
        <f ca="1">+'LT skaiciuokle'!Z40</f>
        <v>1211.5740567740288</v>
      </c>
    </row>
    <row r="32" spans="1:6" x14ac:dyDescent="0.2">
      <c r="A32">
        <v>28</v>
      </c>
      <c r="B32" s="23">
        <f>+'LT skaiciuokle'!P41</f>
        <v>1971.5643480074918</v>
      </c>
      <c r="D32" s="23">
        <f ca="1">+'LT skaiciuokle'!S41</f>
        <v>1318.0807722624409</v>
      </c>
      <c r="F32" s="23">
        <f ca="1">+'LT skaiciuokle'!Z41</f>
        <v>1109.4676883757202</v>
      </c>
    </row>
    <row r="33" spans="1:6" x14ac:dyDescent="0.2">
      <c r="A33">
        <v>29</v>
      </c>
      <c r="B33" s="23">
        <f>+'LT skaiciuokle'!P42</f>
        <v>1990.8856786179649</v>
      </c>
      <c r="D33" s="23">
        <f ca="1">+'LT skaiciuokle'!S42</f>
        <v>1342.0092281395764</v>
      </c>
      <c r="F33" s="23">
        <f ca="1">+'LT skaiciuokle'!Z42</f>
        <v>1123.9397282492557</v>
      </c>
    </row>
    <row r="34" spans="1:6" x14ac:dyDescent="0.2">
      <c r="A34">
        <v>30</v>
      </c>
      <c r="B34" s="23">
        <f>+'LT skaiciuokle'!P43</f>
        <v>2010.396358268421</v>
      </c>
      <c r="D34" s="23">
        <f ca="1">+'LT skaiciuokle'!S43</f>
        <v>1191.7296656470935</v>
      </c>
      <c r="F34" s="23">
        <f ca="1">+'LT skaiciuokle'!Z43</f>
        <v>987.75048244042057</v>
      </c>
    </row>
    <row r="36" spans="1:6" ht="15" x14ac:dyDescent="0.25">
      <c r="B36" s="48">
        <f>IRR(B5:B34)</f>
        <v>0.4117898362059198</v>
      </c>
      <c r="D36" s="48">
        <f ca="1">IRR(D5:D34)</f>
        <v>0.12948711376724664</v>
      </c>
      <c r="F36" s="48">
        <f ca="1">IRR(F5:F34)</f>
        <v>0.14213718665371644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Sheet1 (3)</vt:lpstr>
      <vt:lpstr>Sheet3</vt:lpstr>
      <vt:lpstr>LT skaiciuokle (2)</vt:lpstr>
      <vt:lpstr>LT skaiciuokle</vt:lpstr>
      <vt:lpstr>IRR skaičiavimas</vt:lpstr>
      <vt:lpstr>'LT skaiciuokle'!Print_Area</vt:lpstr>
      <vt:lpstr>'LT skaiciuokle (2)'!Print_Area</vt:lpstr>
      <vt:lpstr>Sheet1!Print_Area</vt:lpstr>
      <vt:lpstr>'Sheet1 (3)'!Print_Area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Rimantas Zylius</cp:lastModifiedBy>
  <cp:revision/>
  <dcterms:created xsi:type="dcterms:W3CDTF">2010-09-08T14:15:26Z</dcterms:created>
  <dcterms:modified xsi:type="dcterms:W3CDTF">2020-06-02T09:52:14Z</dcterms:modified>
  <cp:category/>
  <cp:contentStatus/>
</cp:coreProperties>
</file>