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285" yWindow="0" windowWidth="9180" windowHeight="8565" activeTab="1"/>
  </bookViews>
  <sheets>
    <sheet name="Design Process " sheetId="1" r:id="rId1"/>
    <sheet name="Calculation sheet" sheetId="2" r:id="rId2"/>
    <sheet name="AWG table" sheetId="3" r:id="rId3"/>
    <sheet name="Steinmetz factor" sheetId="4" r:id="rId4"/>
  </sheets>
  <definedNames>
    <definedName name="a_3p">'Calculation sheet'!$Q$29</definedName>
    <definedName name="Ac_1p">'Calculation sheet'!#REF!</definedName>
    <definedName name="Ac_3p">'Calculation sheet'!$E$30</definedName>
    <definedName name="Acp_1p">'Calculation sheet'!#REF!</definedName>
    <definedName name="Acp_3p">'Calculation sheet'!$E$33</definedName>
    <definedName name="Acs_1p">'Calculation sheet'!#REF!</definedName>
    <definedName name="Acs_3p">'Calculation sheet'!$E$41</definedName>
    <definedName name="Acu_1p">'Calculation sheet'!#REF!</definedName>
    <definedName name="Acup_3p">'Calculation sheet'!$E$38</definedName>
    <definedName name="Acus_1p">'Calculation sheet'!#REF!</definedName>
    <definedName name="Acus_3p">'Calculation sheet'!$E$46</definedName>
    <definedName name="alpha">'Calculation sheet'!$C$89</definedName>
    <definedName name="AWG_p">'Calculation sheet'!$C$35</definedName>
    <definedName name="AWGp_1p">'Calculation sheet'!#REF!</definedName>
    <definedName name="AWGp_3p">'Calculation sheet'!$E$35</definedName>
    <definedName name="AWGs_1p">'Calculation sheet'!#REF!</definedName>
    <definedName name="AWGs_3p">'Calculation sheet'!$E$43</definedName>
    <definedName name="beta">'Calculation sheet'!$C$90</definedName>
    <definedName name="Bm">'Calculation sheet'!$C$14</definedName>
    <definedName name="d">'Calculation sheet'!$C$9</definedName>
    <definedName name="d_3p">'Calculation sheet'!$L$30</definedName>
    <definedName name="d_a">'Calculation sheet'!$Q$34</definedName>
    <definedName name="d_cs_3p">'Calculation sheet'!$E$42</definedName>
    <definedName name="d_pri_3p">'Calculation sheet'!$C$49</definedName>
    <definedName name="d_sec_3p">'Calculation sheet'!$C$50</definedName>
    <definedName name="dcp_1p">'Calculation sheet'!#REF!</definedName>
    <definedName name="dcp_3p">'Calculation sheet'!$E$34</definedName>
    <definedName name="dcs_1p">'Calculation sheet'!#REF!</definedName>
    <definedName name="Dskin_3p">'Calculation sheet'!$E$48</definedName>
    <definedName name="eff">'Calculation sheet'!$C$13</definedName>
    <definedName name="f">'Calculation sheet'!$C$8</definedName>
    <definedName name="fsw">'Calculation sheet'!$C$8</definedName>
    <definedName name="gcm3_core">'Calculation sheet'!$C$96</definedName>
    <definedName name="h_3p">'Calculation sheet'!$O$15</definedName>
    <definedName name="IpL">'Calculation sheet'!#REF!</definedName>
    <definedName name="IpL_3p">'Calculation sheet'!$E$25</definedName>
    <definedName name="ipp">'Calculation sheet'!#REF!</definedName>
    <definedName name="Ipp_3p">'Calculation sheet'!$E$26</definedName>
    <definedName name="IsL">'Calculation sheet'!#REF!</definedName>
    <definedName name="IsL_3p">'Calculation sheet'!$E$27</definedName>
    <definedName name="isp">'Calculation sheet'!#REF!</definedName>
    <definedName name="Isp_3p">'Calculation sheet'!$E$28</definedName>
    <definedName name="Jp_3p">'Calculation sheet'!$C$21</definedName>
    <definedName name="Js">'Calculation sheet'!$C$20</definedName>
    <definedName name="Js_1p">'Calculation sheet'!#REF!</definedName>
    <definedName name="Js_3p">'Calculation sheet'!$E$40</definedName>
    <definedName name="k">'Calculation sheet'!$C$95</definedName>
    <definedName name="kf">'Calculation sheet'!$C$18</definedName>
    <definedName name="KgCore_3p">'Calculation sheet'!$E$98</definedName>
    <definedName name="ku">'Calculation sheet'!$C$19</definedName>
    <definedName name="L">'Calculation sheet'!$C$11</definedName>
    <definedName name="MLTp_1p">'Calculation sheet'!#REF!</definedName>
    <definedName name="MLTp_3p">'Calculation sheet'!$E$74</definedName>
    <definedName name="MLTs_1p">'Calculation sheet'!#REF!</definedName>
    <definedName name="MLTs_3p">'Calculation sheet'!$E$75</definedName>
    <definedName name="n">'Calculation sheet'!$C$17</definedName>
    <definedName name="N1_T">'Calculation sheet'!$C$15</definedName>
    <definedName name="N2_T">'Calculation sheet'!$C$16</definedName>
    <definedName name="NEWAcp_1p">'Calculation sheet'!#REF!</definedName>
    <definedName name="NEWAcp_3p">'Calculation sheet'!$E$36</definedName>
    <definedName name="NEWAcs_1p">'Calculation sheet'!#REF!</definedName>
    <definedName name="NEWAcs_3p">'Calculation sheet'!$E$44</definedName>
    <definedName name="NEWJp_1p">'Calculation sheet'!#REF!</definedName>
    <definedName name="NewJp_3p">'Calculation sheet'!$E$37</definedName>
    <definedName name="NEWJs_1p">'Calculation sheet'!#REF!</definedName>
    <definedName name="NEWJs_3s">'Calculation sheet'!$E$45</definedName>
    <definedName name="Pcore_3p">'Calculation sheet'!$E$99</definedName>
    <definedName name="Pcu_3p">'Calculation sheet'!$E$86</definedName>
    <definedName name="Pcu_p_3p">'Calculation sheet'!$E$84</definedName>
    <definedName name="Pcu_s_3p">'Calculation sheet'!$E$85</definedName>
    <definedName name="Pfeo_3p">'Calculation sheet'!$C$93</definedName>
    <definedName name="pi">'Calculation sheet'!$C$12</definedName>
    <definedName name="Pin">'Calculation sheet'!$C$7</definedName>
    <definedName name="Rcu_p">'Calculation sheet'!$E$78</definedName>
    <definedName name="Rcu_s">'Calculation sheet'!$E$79</definedName>
    <definedName name="Rp_3p">'Calculation sheet'!$E$80</definedName>
    <definedName name="Rp_ac">'Calculation sheet'!$E$82</definedName>
    <definedName name="Rs_3p">'Calculation sheet'!$E$81</definedName>
    <definedName name="Rs_ac">'Calculation sheet'!$E$83</definedName>
    <definedName name="ST_1p">'Calculation sheet'!#REF!</definedName>
    <definedName name="ST_3p">'Calculation sheet'!$E$29</definedName>
    <definedName name="theta">'Calculation sheet'!$C$10</definedName>
    <definedName name="TLwp_1p">'Calculation sheet'!#REF!</definedName>
    <definedName name="TLwp_3p">'Calculation sheet'!$E$76</definedName>
    <definedName name="TLws_1p">'Calculation sheet'!#REF!</definedName>
    <definedName name="TLws_3p">'Calculation sheet'!$E$77</definedName>
    <definedName name="Total_Acu_1p">'Calculation sheet'!#REF!</definedName>
    <definedName name="Total_Acu_3p">'Calculation sheet'!$E$47</definedName>
    <definedName name="Vin_dc">'Calculation sheet'!$C$5</definedName>
    <definedName name="Vol">'Calculation sheet'!$E$54</definedName>
    <definedName name="Vout_dc">'Calculation sheet'!$C$6</definedName>
    <definedName name="Vpn">'Calculation sheet'!#REF!</definedName>
    <definedName name="Vpn_3p">'Calculation sheet'!$E$23</definedName>
    <definedName name="Vsn">'Calculation sheet'!#REF!</definedName>
    <definedName name="w_3p">'Calculation sheet'!$O$24</definedName>
    <definedName name="w_a">'Calculation sheet'!$Q$35</definedName>
    <definedName name="Wa_1p">'Calculation sheet'!#REF!</definedName>
    <definedName name="Wa_3p">'Calculation sheet'!$E$52</definedName>
    <definedName name="Wa_3p_1">'Calculation sheet'!#REF!</definedName>
  </definedNames>
  <calcPr calcId="145621"/>
  <customWorkbookViews>
    <customWorkbookView name="Lee Youngsil - Personal View" guid="{4BC1E79B-7364-4615-87D5-9423F10F4E5B}" mergeInterval="0" personalView="1" maximized="1" windowWidth="1858" windowHeight="894" activeSheetId="2"/>
    <customWorkbookView name="Vakil Gaurang - Personal View" guid="{E61536A5-1B37-499F-8E23-CE5FFEBBA059}" mergeInterval="0" personalView="1" maximized="1" yWindow="-4" windowWidth="1920" windowHeight="859" activeSheetId="2"/>
  </customWorkbookViews>
</workbook>
</file>

<file path=xl/calcChain.xml><?xml version="1.0" encoding="utf-8"?>
<calcChain xmlns="http://schemas.openxmlformats.org/spreadsheetml/2006/main">
  <c r="L30" i="2" l="1"/>
  <c r="Q29" i="2"/>
  <c r="C15" i="2" l="1"/>
  <c r="C9" i="2"/>
  <c r="E71" i="2" l="1"/>
  <c r="E70" i="2"/>
  <c r="E69" i="2"/>
  <c r="E66" i="2"/>
  <c r="E64" i="2"/>
  <c r="E65" i="2"/>
  <c r="E48" i="2" l="1"/>
  <c r="M67" i="2" l="1"/>
  <c r="M65" i="2"/>
  <c r="L71" i="2"/>
  <c r="K67" i="2"/>
  <c r="N56" i="2" s="1"/>
  <c r="L70" i="2"/>
  <c r="K65" i="2"/>
  <c r="N55" i="2" s="1"/>
  <c r="D36" i="2"/>
  <c r="Z91" i="3"/>
  <c r="L55" i="2" l="1"/>
  <c r="L56" i="2"/>
  <c r="X18" i="3"/>
  <c r="C90" i="2" l="1"/>
  <c r="C89" i="2"/>
  <c r="C88" i="2"/>
  <c r="E79" i="2" l="1"/>
  <c r="E78" i="2"/>
  <c r="D44" i="2"/>
  <c r="E44" i="2" s="1"/>
  <c r="C49" i="2" l="1"/>
  <c r="E36" i="2"/>
  <c r="E38" i="2" s="1"/>
  <c r="E40" i="2"/>
  <c r="E32" i="2"/>
  <c r="C17" i="2" l="1"/>
  <c r="E23" i="2" l="1"/>
  <c r="K7" i="2" l="1"/>
  <c r="C7" i="2" l="1"/>
  <c r="E29" i="2" s="1"/>
  <c r="E25" i="2" s="1"/>
  <c r="E26" i="2" s="1"/>
  <c r="C12" i="2"/>
  <c r="C93" i="2" s="1"/>
  <c r="O39" i="2" l="1"/>
  <c r="Q8" i="2"/>
  <c r="C10" i="2"/>
  <c r="E37" i="2" l="1"/>
  <c r="E33" i="2"/>
  <c r="E34" i="2" s="1"/>
  <c r="E27" i="2" l="1"/>
  <c r="E24" i="2"/>
  <c r="C16" i="2"/>
  <c r="E28" i="2"/>
  <c r="E72" i="2" l="1"/>
  <c r="O71" i="2" s="1"/>
  <c r="E67" i="2"/>
  <c r="O70" i="2"/>
  <c r="E41" i="2"/>
  <c r="E42" i="2" s="1"/>
  <c r="C50" i="2" l="1"/>
  <c r="E46" i="2"/>
  <c r="E47" i="2" l="1"/>
  <c r="E52" i="2" s="1"/>
  <c r="K16" i="2" s="1"/>
  <c r="E45" i="2"/>
  <c r="O24" i="2" l="1"/>
  <c r="E75" i="2" l="1"/>
  <c r="E77" i="2" s="1"/>
  <c r="E74" i="2"/>
  <c r="O15" i="2"/>
  <c r="E54" i="2" s="1"/>
  <c r="E98" i="2" s="1"/>
  <c r="O37" i="2"/>
  <c r="N73" i="2"/>
  <c r="N80" i="2" s="1"/>
  <c r="E76" i="2"/>
  <c r="E99" i="2" l="1"/>
  <c r="E57" i="2"/>
  <c r="E81" i="2"/>
  <c r="E83" i="2" s="1"/>
  <c r="E85" i="2" s="1"/>
  <c r="R62" i="2"/>
  <c r="O38" i="2"/>
  <c r="E56" i="2"/>
  <c r="E80" i="2"/>
  <c r="E82" i="2" s="1"/>
  <c r="E84" i="2" s="1"/>
  <c r="Q77" i="2" l="1"/>
  <c r="P77" i="2" s="1"/>
  <c r="Q76" i="2"/>
  <c r="P76" i="2" s="1"/>
  <c r="M77" i="2"/>
  <c r="L77" i="2" s="1"/>
  <c r="M76" i="2"/>
  <c r="L76" i="2" s="1"/>
  <c r="E86" i="2"/>
  <c r="E101" i="2" s="1"/>
  <c r="E102" i="2" s="1"/>
  <c r="L81" i="2" l="1"/>
  <c r="P81" i="2" s="1"/>
  <c r="L80" i="2"/>
  <c r="P80" i="2" s="1"/>
</calcChain>
</file>

<file path=xl/sharedStrings.xml><?xml version="1.0" encoding="utf-8"?>
<sst xmlns="http://schemas.openxmlformats.org/spreadsheetml/2006/main" count="577" uniqueCount="434">
  <si>
    <t>Design process of MF Transformer for 3 DAB DC-DC Converter</t>
  </si>
  <si>
    <t>MF Transformer for 3DAB DC-DC Converter design Spreadsheet</t>
  </si>
  <si>
    <r>
      <t xml:space="preserve">1. System specification - Vin, Voutput, Pin, fsw, n (turn ration), η, Lσ, N1, N2
2. Properties of selected materials - α (regulation), Kf, Ku, Bm, N1, N2
</t>
    </r>
    <r>
      <rPr>
        <sz val="11"/>
        <color rgb="FF0000FF"/>
        <rFont val="Arial"/>
        <family val="2"/>
      </rPr>
      <t>(Kf=4.0 for squre wave, Kf=4.44 for sine wave and Ku = window utilization factor, 0.5 - 0.6)</t>
    </r>
    <r>
      <rPr>
        <sz val="11"/>
        <color theme="1"/>
        <rFont val="Arial"/>
        <family val="2"/>
      </rPr>
      <t xml:space="preserve">
3. Calculate Vpn, Vsn, ip,s_phase, ip,s_line, apparent power of transformer
4. Calculate core sectional area, Ac
5. Calculate current density, J = 10 A/m²
6. Calculate conductor cross section of primary side, Acp 
7. Calculate conductor diamete
8. Select conductor size
9. Calculate new current density using the selected conductor
10. Calculate copper area of primary side
11. Calculate copper area of secondary side 
12. Calculate total copper area = primary area + secondary area 
13. Calculate window area, Aw for single phase. Aw = total copper area /Ku 
14. Calculate window area for three phase. Aw_3p = 2 * Aw
</t>
    </r>
    <r>
      <rPr>
        <sz val="11"/>
        <color rgb="FF0000FF"/>
        <rFont val="Arial"/>
        <family val="2"/>
      </rPr>
      <t>If the calculated dimension is not sufficient, go back to step 2</t>
    </r>
    <r>
      <rPr>
        <sz val="11"/>
        <color theme="1"/>
        <rFont val="Arial"/>
        <family val="2"/>
      </rPr>
      <t xml:space="preserve">
15. Calculate resistance of primary winding, Rp,s 
16. Calculate primary and secondary copper losses. Pp,s_loss = 3*Iphase²*Rp,s
17. Calculate regulation, α
18. Calculate the watt per kilogram of the core 
19. Calculate core loss, Pc
20. Calculate the total transformer loss, Ptotal = Pp + Pc
21. Calcualte the transformer efficiency, η
22. Consider cooling system and isolation level </t>
    </r>
  </si>
  <si>
    <t>INPUT REQUIRED PARAMETERS</t>
  </si>
  <si>
    <t>Vin_dc</t>
  </si>
  <si>
    <t>Vout_dc</t>
  </si>
  <si>
    <t xml:space="preserve">Pin </t>
  </si>
  <si>
    <t>fsw</t>
  </si>
  <si>
    <t xml:space="preserve">INPUT </t>
  </si>
  <si>
    <t>Notes</t>
  </si>
  <si>
    <t xml:space="preserve">UNITS </t>
  </si>
  <si>
    <t>Comments</t>
  </si>
  <si>
    <t>h</t>
  </si>
  <si>
    <t>N1</t>
  </si>
  <si>
    <t>Bm</t>
  </si>
  <si>
    <t>N2</t>
  </si>
  <si>
    <t>theta</t>
  </si>
  <si>
    <t xml:space="preserve"> Lσ</t>
  </si>
  <si>
    <t>pi</t>
  </si>
  <si>
    <t>Kf</t>
  </si>
  <si>
    <t>Ku</t>
  </si>
  <si>
    <t>Transformer parameters</t>
  </si>
  <si>
    <t xml:space="preserve">Power converter parameters </t>
  </si>
  <si>
    <t>Vpn</t>
  </si>
  <si>
    <t>Vsn</t>
  </si>
  <si>
    <t>Ip_line</t>
  </si>
  <si>
    <t>Ip_p</t>
  </si>
  <si>
    <t>Is_line</t>
  </si>
  <si>
    <t>Is_p</t>
  </si>
  <si>
    <r>
      <t>S</t>
    </r>
    <r>
      <rPr>
        <sz val="10"/>
        <color theme="1"/>
        <rFont val="Cordia New"/>
        <family val="2"/>
      </rPr>
      <t>T</t>
    </r>
  </si>
  <si>
    <t>Ac</t>
  </si>
  <si>
    <t>Jp</t>
  </si>
  <si>
    <t>Acp</t>
  </si>
  <si>
    <t>d_cp</t>
  </si>
  <si>
    <t>AWG_p</t>
  </si>
  <si>
    <t xml:space="preserve">Jp_new </t>
  </si>
  <si>
    <t>Acu_p</t>
  </si>
  <si>
    <t>core section area</t>
  </si>
  <si>
    <t>Js</t>
  </si>
  <si>
    <t>Acs</t>
  </si>
  <si>
    <t>d_cs</t>
  </si>
  <si>
    <t>AWG_s</t>
  </si>
  <si>
    <t>Js_new</t>
  </si>
  <si>
    <t>Acu_s</t>
  </si>
  <si>
    <t>Acu_total</t>
  </si>
  <si>
    <t xml:space="preserve">Copper size and area for primary side </t>
  </si>
  <si>
    <t xml:space="preserve">Copper size and area for secondary side </t>
  </si>
  <si>
    <t xml:space="preserve">Window area </t>
  </si>
  <si>
    <t xml:space="preserve">3 Phase </t>
  </si>
  <si>
    <t>Wa_3p</t>
  </si>
  <si>
    <t xml:space="preserve">Calculate copper loss </t>
  </si>
  <si>
    <t>Pcu_p</t>
  </si>
  <si>
    <t>Pcu_s</t>
  </si>
  <si>
    <t>Pcu</t>
  </si>
  <si>
    <t>primary copper loss</t>
  </si>
  <si>
    <t>secondary copper loss</t>
  </si>
  <si>
    <t>total copper loss</t>
  </si>
  <si>
    <t>Calculate core loss</t>
  </si>
  <si>
    <t>W/kg</t>
  </si>
  <si>
    <t>Pc</t>
  </si>
  <si>
    <t xml:space="preserve">Calculatie transformer efficiency </t>
  </si>
  <si>
    <t>Ptr_loss</t>
  </si>
  <si>
    <t>Efficiency of Tr</t>
  </si>
  <si>
    <t xml:space="preserve">Required cooling system </t>
  </si>
  <si>
    <t xml:space="preserve">Required isolation level </t>
  </si>
  <si>
    <r>
      <t>Calculate electrical parameters - Vpn, Vsn, Iphase, line, S</t>
    </r>
    <r>
      <rPr>
        <b/>
        <sz val="8"/>
        <color theme="1"/>
        <rFont val="Arial"/>
        <family val="2"/>
      </rPr>
      <t xml:space="preserve">T, </t>
    </r>
    <r>
      <rPr>
        <b/>
        <sz val="10"/>
        <color theme="1"/>
        <rFont val="Arial"/>
        <family val="2"/>
      </rPr>
      <t>Ac</t>
    </r>
  </si>
  <si>
    <t xml:space="preserve">primary line current </t>
  </si>
  <si>
    <t xml:space="preserve">primary phase current </t>
  </si>
  <si>
    <t xml:space="preserve">secondary line current </t>
  </si>
  <si>
    <t xml:space="preserve">secondary phase current </t>
  </si>
  <si>
    <t xml:space="preserve">operating frequency </t>
  </si>
  <si>
    <t>Hz</t>
  </si>
  <si>
    <t>Input DC voltage</t>
  </si>
  <si>
    <t>Output DC voltage</t>
  </si>
  <si>
    <t xml:space="preserve">Input Power </t>
  </si>
  <si>
    <t>DC conversion ratio</t>
  </si>
  <si>
    <t xml:space="preserve">Phase shift angle </t>
  </si>
  <si>
    <t xml:space="preserve">leakgage inductance </t>
  </si>
  <si>
    <t xml:space="preserve">pi </t>
  </si>
  <si>
    <t xml:space="preserve">Peak flux density </t>
  </si>
  <si>
    <t xml:space="preserve">Number of primary winding turns </t>
  </si>
  <si>
    <t xml:space="preserve">Number of secondary winding turns </t>
  </si>
  <si>
    <t>Waveform coefficient</t>
  </si>
  <si>
    <t xml:space="preserve">Window utilization factor </t>
  </si>
  <si>
    <t>primary transformer phase voltage</t>
  </si>
  <si>
    <t>secondary transformer phase voltage</t>
  </si>
  <si>
    <t xml:space="preserve">apparent transformer power </t>
  </si>
  <si>
    <t xml:space="preserve">Current density of primary side </t>
  </si>
  <si>
    <t xml:space="preserve">Primary conductor cross section </t>
  </si>
  <si>
    <t>primary conductor diameter</t>
  </si>
  <si>
    <t xml:space="preserve">primary conductor size </t>
  </si>
  <si>
    <t xml:space="preserve">new current density using the AWG </t>
  </si>
  <si>
    <t xml:space="preserve">conductor area of primary </t>
  </si>
  <si>
    <t>secondary conductor size</t>
  </si>
  <si>
    <t xml:space="preserve">conductor area of secondary </t>
  </si>
  <si>
    <t xml:space="preserve">Total conductors area </t>
  </si>
  <si>
    <t>total core loss</t>
  </si>
  <si>
    <t>total transformer loss</t>
  </si>
  <si>
    <t xml:space="preserve">the transformer efficiency </t>
  </si>
  <si>
    <t>%</t>
  </si>
  <si>
    <t>W</t>
  </si>
  <si>
    <t>V</t>
  </si>
  <si>
    <t>Volts</t>
  </si>
  <si>
    <t>turns</t>
  </si>
  <si>
    <t>T</t>
  </si>
  <si>
    <t>A</t>
  </si>
  <si>
    <t>A/mm²</t>
  </si>
  <si>
    <t>AWG</t>
  </si>
  <si>
    <t>mm²</t>
  </si>
  <si>
    <t>mm</t>
  </si>
  <si>
    <t>ohm</t>
  </si>
  <si>
    <t>d=</t>
  </si>
  <si>
    <t>a=</t>
  </si>
  <si>
    <t>Ac=</t>
  </si>
  <si>
    <t>Aw=</t>
  </si>
  <si>
    <t xml:space="preserve">Geometric outline of 3 phase MFT </t>
  </si>
  <si>
    <t>squre wave</t>
  </si>
  <si>
    <t xml:space="preserve">estimated current density </t>
  </si>
  <si>
    <t>mH</t>
  </si>
  <si>
    <t>a</t>
  </si>
  <si>
    <t>Ac=a*d</t>
  </si>
  <si>
    <t>Aw=w*h</t>
  </si>
  <si>
    <r>
      <t>90</t>
    </r>
    <r>
      <rPr>
        <sz val="10"/>
        <color theme="1"/>
        <rFont val="Calibri"/>
        <family val="2"/>
      </rPr>
      <t>°</t>
    </r>
    <r>
      <rPr>
        <sz val="10"/>
        <color theme="1"/>
        <rFont val="Arial"/>
        <family val="2"/>
      </rPr>
      <t xml:space="preserve"> (pi/2)</t>
    </r>
  </si>
  <si>
    <t>ampacity with</t>
  </si>
  <si>
    <t>60/75/90 °C</t>
  </si>
  <si>
    <t>metric</t>
  </si>
  <si>
    <t>Diameter</t>
  </si>
  <si>
    <t>Turns of wire,</t>
  </si>
  <si>
    <t>no insulation</t>
  </si>
  <si>
    <t>Area</t>
  </si>
  <si>
    <t>Copper</t>
  </si>
  <si>
    <t>NEC copper wire</t>
  </si>
  <si>
    <t>insulation (A)[7]</t>
  </si>
  <si>
    <t>Approx.</t>
  </si>
  <si>
    <t>equivalents</t>
  </si>
  <si>
    <t>(in)</t>
  </si>
  <si>
    <t>(mm)</t>
  </si>
  <si>
    <t>(per in)</t>
  </si>
  <si>
    <t>(per cm)</t>
  </si>
  <si>
    <t>(kcmil)</t>
  </si>
  <si>
    <r>
      <t>(mm</t>
    </r>
    <r>
      <rPr>
        <b/>
        <vertAlign val="superscript"/>
        <sz val="8"/>
        <color rgb="FF000000"/>
        <rFont val="Arial"/>
        <family val="2"/>
      </rPr>
      <t>2</t>
    </r>
    <r>
      <rPr>
        <b/>
        <sz val="10"/>
        <color rgb="FF000000"/>
        <rFont val="Arial"/>
        <family val="2"/>
      </rPr>
      <t>)</t>
    </r>
  </si>
  <si>
    <t>(Ω/km)</t>
  </si>
  <si>
    <t>(mΩ/m)</t>
  </si>
  <si>
    <t>(Ω/kft)</t>
  </si>
  <si>
    <t>(mΩ/ft)</t>
  </si>
  <si>
    <t>Preece,</t>
  </si>
  <si>
    <t>~10 s</t>
  </si>
  <si>
    <t>Onderdonk,</t>
  </si>
  <si>
    <t>1 s</t>
  </si>
  <si>
    <t>32 ms</t>
  </si>
  <si>
    <t>0000 (4/0)</t>
  </si>
  <si>
    <t>0.4600*</t>
  </si>
  <si>
    <t>11.684*</t>
  </si>
  <si>
    <t>195 / 230 / 260</t>
  </si>
  <si>
    <t>3.2 kA</t>
  </si>
  <si>
    <t>33 kA</t>
  </si>
  <si>
    <t>182 kA</t>
  </si>
  <si>
    <t>000 (3/0)</t>
  </si>
  <si>
    <t>165 / 200 / 225</t>
  </si>
  <si>
    <t>2.7 kA</t>
  </si>
  <si>
    <t>26 kA</t>
  </si>
  <si>
    <t>144 kA</t>
  </si>
  <si>
    <t>00 (2/0)</t>
  </si>
  <si>
    <t>145 / 175 / 195</t>
  </si>
  <si>
    <t>2.3 kA</t>
  </si>
  <si>
    <t>21 kA</t>
  </si>
  <si>
    <t>115 kA</t>
  </si>
  <si>
    <t>0 (1/0)</t>
  </si>
  <si>
    <t>125 / 150 / 170</t>
  </si>
  <si>
    <t>1.9 kA</t>
  </si>
  <si>
    <t>16 kA</t>
  </si>
  <si>
    <t>91 kA</t>
  </si>
  <si>
    <t>110 / 130 / 145</t>
  </si>
  <si>
    <t>1.6 kA</t>
  </si>
  <si>
    <t>13 kA</t>
  </si>
  <si>
    <t>72 kA</t>
  </si>
  <si>
    <t>95 / 115 / 130</t>
  </si>
  <si>
    <t>1.3 kA</t>
  </si>
  <si>
    <t>10.2 kA</t>
  </si>
  <si>
    <t>57 kA</t>
  </si>
  <si>
    <t>85 / 100 / 115</t>
  </si>
  <si>
    <t>196/0.4</t>
  </si>
  <si>
    <t>1.1 kA</t>
  </si>
  <si>
    <t>8.1 kA</t>
  </si>
  <si>
    <t>45 kA</t>
  </si>
  <si>
    <t>70 / 85 / 95</t>
  </si>
  <si>
    <t>946 A</t>
  </si>
  <si>
    <t>6.4 kA</t>
  </si>
  <si>
    <t>36 kA</t>
  </si>
  <si>
    <t>126/0.4</t>
  </si>
  <si>
    <t>795 A</t>
  </si>
  <si>
    <t>5.1 kA</t>
  </si>
  <si>
    <t>28 kA</t>
  </si>
  <si>
    <t>55 / 65 / 75</t>
  </si>
  <si>
    <t>668 A</t>
  </si>
  <si>
    <t>4.0 kA</t>
  </si>
  <si>
    <t>23 kA</t>
  </si>
  <si>
    <t>80/0.4</t>
  </si>
  <si>
    <t>561 A</t>
  </si>
  <si>
    <t>18 kA</t>
  </si>
  <si>
    <t>40 / 50 / 55</t>
  </si>
  <si>
    <t>472 A</t>
  </si>
  <si>
    <t>2.5 kA</t>
  </si>
  <si>
    <t>14 kA</t>
  </si>
  <si>
    <t>84/0.3</t>
  </si>
  <si>
    <t>396 A</t>
  </si>
  <si>
    <t>2.0 kA</t>
  </si>
  <si>
    <t>11 kA</t>
  </si>
  <si>
    <t>30 / 35 / 40</t>
  </si>
  <si>
    <t>333 A</t>
  </si>
  <si>
    <t>8.9 kA</t>
  </si>
  <si>
    <t>56/0.3</t>
  </si>
  <si>
    <t>280 A</t>
  </si>
  <si>
    <t>7.1 kA</t>
  </si>
  <si>
    <t>20 / 25 / 30</t>
  </si>
  <si>
    <t>235 A</t>
  </si>
  <si>
    <t>1.0 kA</t>
  </si>
  <si>
    <t>5.6 kA</t>
  </si>
  <si>
    <t>50/0.25</t>
  </si>
  <si>
    <t>198 A</t>
  </si>
  <si>
    <t>798 A</t>
  </si>
  <si>
    <t>4.5 kA</t>
  </si>
  <si>
    <t>15 / 20 / 25</t>
  </si>
  <si>
    <t>64/0.2</t>
  </si>
  <si>
    <t>166 A</t>
  </si>
  <si>
    <t>633 A</t>
  </si>
  <si>
    <t>3.5 kA</t>
  </si>
  <si>
    <t>30/0.25</t>
  </si>
  <si>
    <t>140 A</t>
  </si>
  <si>
    <t>502 A</t>
  </si>
  <si>
    <t>2.8 kA</t>
  </si>
  <si>
    <t>— / — / 18</t>
  </si>
  <si>
    <t>117 A</t>
  </si>
  <si>
    <t>398 A</t>
  </si>
  <si>
    <t>2.2 kA</t>
  </si>
  <si>
    <t>32/0.2</t>
  </si>
  <si>
    <t>99 A</t>
  </si>
  <si>
    <t>316 A</t>
  </si>
  <si>
    <t>1.8 kA</t>
  </si>
  <si>
    <t>— / — / 14</t>
  </si>
  <si>
    <t>24/0.2</t>
  </si>
  <si>
    <t>83 A</t>
  </si>
  <si>
    <t>250 A</t>
  </si>
  <si>
    <t>1.4 kA</t>
  </si>
  <si>
    <t>70 A</t>
  </si>
  <si>
    <t>16/0.2</t>
  </si>
  <si>
    <t>58.5 A</t>
  </si>
  <si>
    <t>158 A</t>
  </si>
  <si>
    <t>882 A</t>
  </si>
  <si>
    <t>13/0.2</t>
  </si>
  <si>
    <t>49 A</t>
  </si>
  <si>
    <t>125 A</t>
  </si>
  <si>
    <t>700 A</t>
  </si>
  <si>
    <t>7/0.25</t>
  </si>
  <si>
    <t>41 A</t>
  </si>
  <si>
    <t>551 A</t>
  </si>
  <si>
    <t>35 A</t>
  </si>
  <si>
    <t>79 A</t>
  </si>
  <si>
    <t>440 A</t>
  </si>
  <si>
    <t>1/0.5, 7/0.2, 30/0.1</t>
  </si>
  <si>
    <t>29 A</t>
  </si>
  <si>
    <t>62 A</t>
  </si>
  <si>
    <t>348 A</t>
  </si>
  <si>
    <t>24 A</t>
  </si>
  <si>
    <t>276 A</t>
  </si>
  <si>
    <t>1/0.4, 7/0.15</t>
  </si>
  <si>
    <t>20 A</t>
  </si>
  <si>
    <t>39 A</t>
  </si>
  <si>
    <t>218 A</t>
  </si>
  <si>
    <t>17 A</t>
  </si>
  <si>
    <t>31 A</t>
  </si>
  <si>
    <t>174 A</t>
  </si>
  <si>
    <t>7/0.12</t>
  </si>
  <si>
    <t>14 A</t>
  </si>
  <si>
    <t>137 A</t>
  </si>
  <si>
    <t>110 A</t>
  </si>
  <si>
    <t>1/0.25, 7/0.1</t>
  </si>
  <si>
    <t>15 A</t>
  </si>
  <si>
    <t>86 A</t>
  </si>
  <si>
    <t>69 A</t>
  </si>
  <si>
    <t>1/0.2, 7/0.08</t>
  </si>
  <si>
    <t>54 A</t>
  </si>
  <si>
    <t>7.7 A</t>
  </si>
  <si>
    <t>43 A</t>
  </si>
  <si>
    <t>6.1 A</t>
  </si>
  <si>
    <t>34 A</t>
  </si>
  <si>
    <t>4.8 A</t>
  </si>
  <si>
    <t>27 A</t>
  </si>
  <si>
    <t>0.00500*</t>
  </si>
  <si>
    <t>0.127*</t>
  </si>
  <si>
    <t>200*</t>
  </si>
  <si>
    <t>3.9 A</t>
  </si>
  <si>
    <t>22 A</t>
  </si>
  <si>
    <t>3.1 A</t>
  </si>
  <si>
    <t>2.4 A</t>
  </si>
  <si>
    <t>1.9 A</t>
  </si>
  <si>
    <t>1.5 A</t>
  </si>
  <si>
    <t>8.5 A</t>
  </si>
  <si>
    <t>resistance</t>
  </si>
  <si>
    <t>insulation (A)</t>
  </si>
  <si>
    <t>Fusing current, copper</t>
  </si>
  <si>
    <t>Acp_new</t>
  </si>
  <si>
    <t>Acs_new</t>
  </si>
  <si>
    <t xml:space="preserve">Sec. new conductor cross section </t>
  </si>
  <si>
    <t>Pri. new conductor cross section</t>
  </si>
  <si>
    <t xml:space="preserve">Window area for three phase </t>
  </si>
  <si>
    <t>MLTp</t>
  </si>
  <si>
    <t>MLTs</t>
  </si>
  <si>
    <t>TLwp</t>
  </si>
  <si>
    <t>TLws</t>
  </si>
  <si>
    <t>Mean length of primary turns</t>
  </si>
  <si>
    <t>Mean length of secondary turns</t>
  </si>
  <si>
    <t xml:space="preserve">secondary conductor cross section </t>
  </si>
  <si>
    <t>secondary conductor diameter</t>
  </si>
  <si>
    <t xml:space="preserve">Total length of primary winding </t>
  </si>
  <si>
    <t xml:space="preserve">Total length of secondary winding </t>
  </si>
  <si>
    <t>geometry ratio</t>
  </si>
  <si>
    <t>d/a</t>
  </si>
  <si>
    <t>k</t>
  </si>
  <si>
    <t>Selection of Core materials</t>
  </si>
  <si>
    <t xml:space="preserve">material </t>
  </si>
  <si>
    <t>Metglas 2605SA1</t>
  </si>
  <si>
    <t xml:space="preserve">Amorphous alloy </t>
  </si>
  <si>
    <t xml:space="preserve">Thickness </t>
  </si>
  <si>
    <t xml:space="preserve">Reference core loss </t>
  </si>
  <si>
    <t>Pfeo</t>
  </si>
  <si>
    <t>Lamination thickness</t>
  </si>
  <si>
    <t>Core stacking factor</t>
  </si>
  <si>
    <t>Core weight</t>
  </si>
  <si>
    <t>kg</t>
  </si>
  <si>
    <t xml:space="preserve">core weight </t>
  </si>
  <si>
    <t>Core</t>
  </si>
  <si>
    <t>winding</t>
  </si>
  <si>
    <t>H</t>
  </si>
  <si>
    <r>
      <rPr>
        <b/>
        <i/>
        <sz val="10"/>
        <color theme="1"/>
        <rFont val="Arial"/>
        <family val="2"/>
      </rPr>
      <t>W</t>
    </r>
    <r>
      <rPr>
        <b/>
        <sz val="10"/>
        <color theme="1"/>
        <rFont val="Arial"/>
        <family val="2"/>
      </rPr>
      <t>h=</t>
    </r>
  </si>
  <si>
    <r>
      <rPr>
        <b/>
        <i/>
        <sz val="10"/>
        <color theme="1"/>
        <rFont val="Arial"/>
        <family val="2"/>
      </rPr>
      <t>W</t>
    </r>
    <r>
      <rPr>
        <b/>
        <sz val="10"/>
        <color theme="1"/>
        <rFont val="Arial"/>
        <family val="2"/>
      </rPr>
      <t>w=</t>
    </r>
  </si>
  <si>
    <r>
      <rPr>
        <i/>
        <sz val="10"/>
        <color theme="1"/>
        <rFont val="Arial"/>
        <family val="2"/>
      </rPr>
      <t>W</t>
    </r>
    <r>
      <rPr>
        <sz val="10"/>
        <color theme="1"/>
        <rFont val="Arial"/>
        <family val="2"/>
      </rPr>
      <t>w</t>
    </r>
  </si>
  <si>
    <t xml:space="preserve">current density of secondary side </t>
  </si>
  <si>
    <t>W=</t>
  </si>
  <si>
    <t>H=</t>
  </si>
  <si>
    <t>D=</t>
  </si>
  <si>
    <t>Vol</t>
  </si>
  <si>
    <t xml:space="preserve">Transformer Volume </t>
  </si>
  <si>
    <t xml:space="preserve">Calculate Transformer Volume </t>
  </si>
  <si>
    <t xml:space="preserve">Calculate the effective skin depth </t>
  </si>
  <si>
    <t xml:space="preserve">effective skin depth </t>
  </si>
  <si>
    <t>Calculate temperature rise</t>
  </si>
  <si>
    <t xml:space="preserve">Density </t>
  </si>
  <si>
    <t xml:space="preserve">density of core </t>
  </si>
  <si>
    <t>Oil cooling</t>
  </si>
  <si>
    <t>diameter of primary side copper</t>
  </si>
  <si>
    <t>diameter of secondary side copper</t>
  </si>
  <si>
    <t>Calculate copper weight</t>
  </si>
  <si>
    <t>CopperDiameter_pri</t>
  </si>
  <si>
    <t>CopperDiameter_sec</t>
  </si>
  <si>
    <t>weight_PriCopper</t>
  </si>
  <si>
    <t>weight_SecCopper</t>
  </si>
  <si>
    <t>Copper weight of primary side</t>
  </si>
  <si>
    <t>Copper weight of secondary side</t>
  </si>
  <si>
    <t>Trise</t>
  </si>
  <si>
    <t xml:space="preserve">Temperature rise </t>
  </si>
  <si>
    <t>Expected Efficiency</t>
  </si>
  <si>
    <t>Turns Ratio</t>
  </si>
  <si>
    <t>Core Dimensions</t>
  </si>
  <si>
    <t>Copper resistance_p</t>
  </si>
  <si>
    <t>Copper resistance_s</t>
  </si>
  <si>
    <t>ohm/km</t>
  </si>
  <si>
    <t xml:space="preserve">copper resistance of primary winding </t>
  </si>
  <si>
    <t>copper resistance of secondary winding</t>
  </si>
  <si>
    <t xml:space="preserve">estimated efficiency </t>
  </si>
  <si>
    <t>Steinmetz fitting coefficients for rectangular voltage excitation and Bm &gt; 0.1 T</t>
  </si>
  <si>
    <t>Freq.range [Hz]</t>
  </si>
  <si>
    <t xml:space="preserve">K </t>
  </si>
  <si>
    <t>alpha</t>
  </si>
  <si>
    <t>beta</t>
  </si>
  <si>
    <t xml:space="preserve">Steinmetz fitting coefficient for rectangular voltage </t>
  </si>
  <si>
    <t>K</t>
  </si>
  <si>
    <t xml:space="preserve">steinmetz equation fitting coefficients </t>
  </si>
  <si>
    <t xml:space="preserve">Modified Steinmetz equation </t>
  </si>
  <si>
    <t xml:space="preserve">3 parallel coppers </t>
  </si>
  <si>
    <t xml:space="preserve">Star-Star Connection </t>
  </si>
  <si>
    <t>Rp_dc</t>
  </si>
  <si>
    <t>Rs_dc</t>
  </si>
  <si>
    <t>Rp_ac</t>
  </si>
  <si>
    <t>Rs_ac</t>
  </si>
  <si>
    <t>Calculate insulation layer</t>
  </si>
  <si>
    <t>kV/mm</t>
  </si>
  <si>
    <t>Dielectric strength</t>
  </si>
  <si>
    <t xml:space="preserve">Between core &amp; LV winding </t>
  </si>
  <si>
    <t>Dupont 410</t>
  </si>
  <si>
    <t>Safe factor 1</t>
  </si>
  <si>
    <t xml:space="preserve">Safe factor 2 </t>
  </si>
  <si>
    <t>Using glass fiber</t>
  </si>
  <si>
    <t xml:space="preserve">LV &amp; HV winding </t>
  </si>
  <si>
    <t xml:space="preserve">LV winding turns </t>
  </si>
  <si>
    <t xml:space="preserve">HV winding turns </t>
  </si>
  <si>
    <t>Using paper</t>
  </si>
  <si>
    <t xml:space="preserve">Eins_glass fiber </t>
  </si>
  <si>
    <t xml:space="preserve">Eins_paper </t>
  </si>
  <si>
    <t xml:space="preserve">insulation layer - core/LV winding </t>
  </si>
  <si>
    <t xml:space="preserve">insulation layer - LV/HV winding </t>
  </si>
  <si>
    <t xml:space="preserve">insulation layer - LV winding </t>
  </si>
  <si>
    <t xml:space="preserve">insulation layer - HV winding </t>
  </si>
  <si>
    <t xml:space="preserve">Insulation layer </t>
  </si>
  <si>
    <t>paper</t>
  </si>
  <si>
    <t>fiber</t>
  </si>
  <si>
    <t>fiber=</t>
  </si>
  <si>
    <t>paper=</t>
  </si>
  <si>
    <t xml:space="preserve">paper </t>
  </si>
  <si>
    <t xml:space="preserve">DC resistance of primary winding  </t>
  </si>
  <si>
    <t>DC resistance of secondary winding</t>
  </si>
  <si>
    <t xml:space="preserve">AC resistance of primary winding </t>
  </si>
  <si>
    <t>AC resistance of secondary winding</t>
  </si>
  <si>
    <t>Rac=1.2*Rdc</t>
  </si>
  <si>
    <t>W =</t>
  </si>
  <si>
    <t xml:space="preserve">LV </t>
  </si>
  <si>
    <t>Rac^2*Ip</t>
  </si>
  <si>
    <t>Rac^2*Is</t>
  </si>
  <si>
    <t xml:space="preserve">HV </t>
  </si>
  <si>
    <t>W [mm]</t>
  </si>
  <si>
    <t>H [mm]</t>
  </si>
  <si>
    <t>Winding area</t>
  </si>
  <si>
    <t>Glass fiber</t>
  </si>
  <si>
    <t>Paper</t>
  </si>
  <si>
    <t>paper =</t>
  </si>
  <si>
    <t>fiber =</t>
  </si>
  <si>
    <t>Total insulation &amp; winding width</t>
  </si>
  <si>
    <t xml:space="preserve">Paper </t>
  </si>
  <si>
    <t>W_total</t>
  </si>
  <si>
    <t>mm2</t>
  </si>
  <si>
    <t>kg/m³</t>
  </si>
  <si>
    <t>Et</t>
  </si>
  <si>
    <t>h/w</t>
  </si>
  <si>
    <t>m³</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</si>
</sst>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1" x14ac:knownFonts="1">
    <font>
      <sz val="11"/>
      <color theme="1"/>
      <name val="Calibri"/>
      <family val="2"/>
      <scheme val="minor"/>
    </font>
    <font>
      <b/>
      <sz val="12"/>
      <color theme="1"/>
      <name val="Arial"/>
      <family val="2"/>
    </font>
    <font>
      <sz val="11"/>
      <color theme="1"/>
      <name val="Arial"/>
      <family val="2"/>
    </font>
    <font>
      <b/>
      <i/>
      <sz val="14"/>
      <color theme="1"/>
      <name val="Arial"/>
      <family val="2"/>
    </font>
    <font>
      <i/>
      <sz val="14"/>
      <color theme="1"/>
      <name val="Arial"/>
      <family val="2"/>
    </font>
    <font>
      <sz val="11"/>
      <color rgb="FF0000FF"/>
      <name val="Arial"/>
      <family val="2"/>
    </font>
    <font>
      <sz val="10"/>
      <color theme="1"/>
      <name val="Arial"/>
      <family val="2"/>
    </font>
    <font>
      <b/>
      <sz val="10"/>
      <color theme="1"/>
      <name val="Arial"/>
      <family val="2"/>
    </font>
    <font>
      <sz val="12"/>
      <color theme="1"/>
      <name val="Arial"/>
      <family val="2"/>
    </font>
    <font>
      <sz val="10"/>
      <color rgb="FFFF0000"/>
      <name val="Arial"/>
      <family val="2"/>
    </font>
    <font>
      <sz val="10"/>
      <name val="Symbol"/>
      <family val="1"/>
      <charset val="2"/>
    </font>
    <font>
      <sz val="10"/>
      <color rgb="FF0000FF"/>
      <name val="Arial"/>
      <family val="2"/>
    </font>
    <font>
      <b/>
      <sz val="10"/>
      <color rgb="FF0000FF"/>
      <name val="Arial"/>
      <family val="2"/>
    </font>
    <font>
      <b/>
      <sz val="10"/>
      <color rgb="FFFF0000"/>
      <name val="Arial"/>
      <family val="2"/>
    </font>
    <font>
      <sz val="10"/>
      <color theme="1"/>
      <name val="Cordia New"/>
      <family val="2"/>
    </font>
    <font>
      <b/>
      <sz val="10"/>
      <color rgb="FF7030A0"/>
      <name val="Arial"/>
      <family val="2"/>
    </font>
    <font>
      <b/>
      <sz val="8"/>
      <color theme="1"/>
      <name val="Arial"/>
      <family val="2"/>
    </font>
    <font>
      <sz val="10"/>
      <color rgb="FF7030A0"/>
      <name val="Arial"/>
      <family val="2"/>
    </font>
    <font>
      <sz val="10"/>
      <color theme="1"/>
      <name val="Calibri"/>
      <family val="2"/>
    </font>
    <font>
      <sz val="10"/>
      <name val="Arial"/>
      <family val="2"/>
    </font>
    <font>
      <b/>
      <sz val="10"/>
      <name val="Arial"/>
      <family val="2"/>
    </font>
    <font>
      <u/>
      <sz val="11"/>
      <color theme="10"/>
      <name val="Calibri"/>
      <family val="2"/>
      <scheme val="minor"/>
    </font>
    <font>
      <b/>
      <sz val="10"/>
      <color rgb="FF000000"/>
      <name val="Arial"/>
      <family val="2"/>
    </font>
    <font>
      <b/>
      <sz val="10"/>
      <color rgb="FF0B0080"/>
      <name val="Arial"/>
      <family val="2"/>
    </font>
    <font>
      <b/>
      <vertAlign val="superscript"/>
      <sz val="8"/>
      <color rgb="FF000000"/>
      <name val="Arial"/>
      <family val="2"/>
    </font>
    <font>
      <sz val="10"/>
      <color rgb="FF000000"/>
      <name val="Arial"/>
      <family val="2"/>
    </font>
    <font>
      <b/>
      <i/>
      <sz val="10"/>
      <color theme="1"/>
      <name val="Arial"/>
      <family val="2"/>
    </font>
    <font>
      <i/>
      <sz val="10"/>
      <color theme="1"/>
      <name val="Arial"/>
      <family val="2"/>
    </font>
    <font>
      <sz val="11"/>
      <name val="Calibri"/>
      <family val="2"/>
      <scheme val="minor"/>
    </font>
    <font>
      <u/>
      <sz val="11"/>
      <name val="Calibri"/>
      <family val="2"/>
      <scheme val="minor"/>
    </font>
    <font>
      <b/>
      <sz val="11"/>
      <color theme="1"/>
      <name val="Arial"/>
      <family val="2"/>
    </font>
  </fonts>
  <fills count="7">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rgb="FFF2F2F2"/>
        <bgColor indexed="64"/>
      </patternFill>
    </fill>
    <fill>
      <patternFill patternType="solid">
        <fgColor rgb="FFFF0000"/>
        <bgColor indexed="64"/>
      </patternFill>
    </fill>
    <fill>
      <patternFill patternType="solid">
        <fgColor theme="9" tint="0.79998168889431442"/>
        <bgColor indexed="64"/>
      </patternFill>
    </fill>
  </fills>
  <borders count="3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double">
        <color auto="1"/>
      </left>
      <right/>
      <top/>
      <bottom/>
      <diagonal/>
    </border>
    <border>
      <left/>
      <right style="double">
        <color auto="1"/>
      </right>
      <top/>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right/>
      <top style="medium">
        <color rgb="FFAAAAAA"/>
      </top>
      <bottom/>
      <diagonal/>
    </border>
    <border>
      <left/>
      <right style="medium">
        <color rgb="FFAAAAAA"/>
      </right>
      <top style="medium">
        <color rgb="FFAAAAAA"/>
      </top>
      <bottom/>
      <diagonal/>
    </border>
    <border>
      <left/>
      <right/>
      <top/>
      <bottom style="medium">
        <color rgb="FFAAAAAA"/>
      </bottom>
      <diagonal/>
    </border>
    <border>
      <left/>
      <right style="medium">
        <color rgb="FFAAAAAA"/>
      </right>
      <top/>
      <bottom style="medium">
        <color rgb="FFAAAAAA"/>
      </bottom>
      <diagonal/>
    </border>
    <border>
      <left/>
      <right style="medium">
        <color rgb="FFAAAAAA"/>
      </right>
      <top/>
      <bottom/>
      <diagonal/>
    </border>
    <border>
      <left style="medium">
        <color rgb="FFAAAAAA"/>
      </left>
      <right/>
      <top style="medium">
        <color rgb="FFAAAAAA"/>
      </top>
      <bottom/>
      <diagonal/>
    </border>
    <border>
      <left style="medium">
        <color rgb="FFAAAAAA"/>
      </left>
      <right/>
      <top/>
      <bottom style="medium">
        <color rgb="FFAAAAAA"/>
      </bottom>
      <diagonal/>
    </border>
    <border>
      <left style="medium">
        <color rgb="FFAAAAAA"/>
      </left>
      <right/>
      <top style="medium">
        <color rgb="FFAAAAAA"/>
      </top>
      <bottom style="medium">
        <color rgb="FFAAAAAA"/>
      </bottom>
      <diagonal/>
    </border>
    <border>
      <left style="medium">
        <color theme="1"/>
      </left>
      <right style="medium">
        <color rgb="FFAAAAAA"/>
      </right>
      <top style="medium">
        <color theme="1"/>
      </top>
      <bottom/>
      <diagonal/>
    </border>
    <border>
      <left style="medium">
        <color rgb="FFAAAAAA"/>
      </left>
      <right/>
      <top style="medium">
        <color theme="1"/>
      </top>
      <bottom/>
      <diagonal/>
    </border>
    <border>
      <left/>
      <right style="medium">
        <color rgb="FFAAAAAA"/>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medium">
        <color rgb="FFAAAAAA"/>
      </right>
      <top/>
      <bottom/>
      <diagonal/>
    </border>
    <border>
      <left/>
      <right style="medium">
        <color theme="1"/>
      </right>
      <top/>
      <bottom style="medium">
        <color rgb="FFAAAAAA"/>
      </bottom>
      <diagonal/>
    </border>
    <border>
      <left/>
      <right style="medium">
        <color theme="1"/>
      </right>
      <top style="medium">
        <color rgb="FFAAAAAA"/>
      </top>
      <bottom style="medium">
        <color rgb="FFAAAAAA"/>
      </bottom>
      <diagonal/>
    </border>
    <border>
      <left style="medium">
        <color theme="1"/>
      </left>
      <right style="medium">
        <color rgb="FFAAAAAA"/>
      </right>
      <top/>
      <bottom style="medium">
        <color rgb="FFAAAAAA"/>
      </bottom>
      <diagonal/>
    </border>
    <border>
      <left style="medium">
        <color theme="1"/>
      </left>
      <right style="medium">
        <color rgb="FFAAAAAA"/>
      </right>
      <top style="medium">
        <color rgb="FFAAAAAA"/>
      </top>
      <bottom/>
      <diagonal/>
    </border>
    <border>
      <left/>
      <right style="medium">
        <color theme="1"/>
      </right>
      <top style="medium">
        <color rgb="FFAAAAAA"/>
      </top>
      <bottom/>
      <diagonal/>
    </border>
    <border>
      <left style="medium">
        <color theme="1"/>
      </left>
      <right style="medium">
        <color rgb="FFAAAAAA"/>
      </right>
      <top/>
      <bottom style="medium">
        <color theme="1"/>
      </bottom>
      <diagonal/>
    </border>
    <border>
      <left style="medium">
        <color rgb="FFAAAAAA"/>
      </left>
      <right style="medium">
        <color rgb="FFAAAAAA"/>
      </right>
      <top/>
      <bottom style="medium">
        <color theme="1"/>
      </bottom>
      <diagonal/>
    </border>
    <border>
      <left/>
      <right style="medium">
        <color rgb="FFAAAAAA"/>
      </right>
      <top/>
      <bottom style="medium">
        <color theme="1"/>
      </bottom>
      <diagonal/>
    </border>
    <border>
      <left/>
      <right style="medium">
        <color theme="1"/>
      </right>
      <top/>
      <bottom style="medium">
        <color theme="1"/>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162">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1" fillId="0" borderId="0" xfId="0" applyFont="1"/>
    <xf numFmtId="0" fontId="12" fillId="0" borderId="0" xfId="0" applyFont="1"/>
    <xf numFmtId="0" fontId="13" fillId="0" borderId="0" xfId="0" applyFont="1"/>
    <xf numFmtId="0" fontId="6" fillId="0" borderId="4" xfId="0" applyFont="1" applyBorder="1"/>
    <xf numFmtId="0" fontId="6" fillId="0" borderId="0" xfId="0" applyFont="1" applyBorder="1"/>
    <xf numFmtId="0" fontId="15" fillId="0" borderId="0" xfId="0" applyFont="1"/>
    <xf numFmtId="0" fontId="7" fillId="0" borderId="4" xfId="0" applyFont="1" applyBorder="1" applyAlignment="1"/>
    <xf numFmtId="0" fontId="17" fillId="0" borderId="0" xfId="0" applyFont="1"/>
    <xf numFmtId="0" fontId="17" fillId="0" borderId="4" xfId="0" applyFont="1" applyBorder="1"/>
    <xf numFmtId="0" fontId="17" fillId="0" borderId="0" xfId="0" applyFont="1" applyBorder="1"/>
    <xf numFmtId="0" fontId="15" fillId="0" borderId="4" xfId="0" applyFont="1" applyBorder="1" applyAlignment="1"/>
    <xf numFmtId="0" fontId="9" fillId="0" borderId="4" xfId="0" applyFont="1" applyBorder="1"/>
    <xf numFmtId="0" fontId="9" fillId="0" borderId="0" xfId="0" applyFont="1" applyBorder="1"/>
    <xf numFmtId="0" fontId="13" fillId="0" borderId="4" xfId="0" applyFont="1" applyBorder="1" applyAlignment="1"/>
    <xf numFmtId="0" fontId="11" fillId="0" borderId="4" xfId="0" applyFont="1" applyBorder="1"/>
    <xf numFmtId="0" fontId="11" fillId="0" borderId="0" xfId="0" applyFont="1" applyBorder="1"/>
    <xf numFmtId="0" fontId="12" fillId="0" borderId="4" xfId="0" applyFont="1" applyBorder="1" applyAlignment="1"/>
    <xf numFmtId="0" fontId="6" fillId="0" borderId="0" xfId="0" applyFont="1" applyAlignment="1"/>
    <xf numFmtId="0" fontId="6" fillId="0" borderId="0" xfId="0" applyFont="1" applyAlignment="1">
      <alignment horizontal="right"/>
    </xf>
    <xf numFmtId="0" fontId="7" fillId="0" borderId="0" xfId="0" applyFont="1" applyAlignment="1">
      <alignment horizontal="right"/>
    </xf>
    <xf numFmtId="0" fontId="8" fillId="0" borderId="6" xfId="0" applyFont="1" applyBorder="1"/>
    <xf numFmtId="0" fontId="6" fillId="0" borderId="6" xfId="0" applyFont="1" applyBorder="1"/>
    <xf numFmtId="0" fontId="6" fillId="0" borderId="0" xfId="0" applyFont="1" applyAlignment="1">
      <alignment horizontal="right"/>
    </xf>
    <xf numFmtId="0" fontId="6" fillId="0" borderId="0" xfId="0" applyFont="1" applyAlignment="1">
      <alignment horizontal="right"/>
    </xf>
    <xf numFmtId="0" fontId="6" fillId="0" borderId="0" xfId="0" applyFont="1" applyAlignment="1">
      <alignment horizontal="center"/>
    </xf>
    <xf numFmtId="2" fontId="9" fillId="0" borderId="0" xfId="0" applyNumberFormat="1" applyFont="1" applyBorder="1"/>
    <xf numFmtId="0" fontId="8" fillId="0" borderId="7" xfId="0" applyFont="1" applyBorder="1"/>
    <xf numFmtId="0" fontId="6" fillId="0" borderId="7" xfId="0" applyFont="1" applyBorder="1"/>
    <xf numFmtId="0" fontId="19" fillId="0" borderId="0" xfId="0" applyFont="1"/>
    <xf numFmtId="0" fontId="20" fillId="3" borderId="0" xfId="0" applyFont="1" applyFill="1"/>
    <xf numFmtId="0" fontId="1" fillId="0" borderId="0" xfId="0" applyFont="1" applyAlignment="1">
      <alignment vertical="center"/>
    </xf>
    <xf numFmtId="0" fontId="6" fillId="0" borderId="0" xfId="0" applyFont="1" applyFill="1" applyAlignment="1"/>
    <xf numFmtId="0" fontId="6" fillId="0" borderId="0" xfId="0" applyFont="1" applyFill="1"/>
    <xf numFmtId="0" fontId="7" fillId="3" borderId="0" xfId="0" applyFont="1" applyFill="1" applyAlignment="1"/>
    <xf numFmtId="0" fontId="21" fillId="4" borderId="14" xfId="1" applyFill="1" applyBorder="1" applyAlignment="1">
      <alignment horizontal="center" vertical="center" wrapText="1"/>
    </xf>
    <xf numFmtId="0" fontId="22" fillId="4" borderId="14" xfId="0" applyFont="1" applyFill="1" applyBorder="1" applyAlignment="1">
      <alignment horizontal="center" vertical="center" wrapText="1"/>
    </xf>
    <xf numFmtId="0" fontId="21" fillId="3" borderId="14" xfId="1" applyFill="1" applyBorder="1" applyAlignment="1">
      <alignment horizontal="center" vertical="center" wrapText="1"/>
    </xf>
    <xf numFmtId="0" fontId="22" fillId="3" borderId="14" xfId="0" applyFont="1" applyFill="1" applyBorder="1" applyAlignment="1">
      <alignment horizontal="center" vertical="center" wrapText="1"/>
    </xf>
    <xf numFmtId="0" fontId="22" fillId="3" borderId="13" xfId="0" applyFont="1" applyFill="1" applyBorder="1" applyAlignment="1">
      <alignment horizontal="center" vertical="center" wrapText="1"/>
    </xf>
    <xf numFmtId="0" fontId="21" fillId="3" borderId="13" xfId="1" applyFill="1" applyBorder="1" applyAlignment="1">
      <alignment horizontal="center" vertical="center" wrapText="1"/>
    </xf>
    <xf numFmtId="0" fontId="0" fillId="3" borderId="13" xfId="0" applyFill="1" applyBorder="1" applyAlignment="1">
      <alignment vertical="center" wrapText="1"/>
    </xf>
    <xf numFmtId="0" fontId="22" fillId="0" borderId="13" xfId="0" applyFont="1" applyFill="1" applyBorder="1" applyAlignment="1">
      <alignment horizontal="center" vertical="center" wrapText="1"/>
    </xf>
    <xf numFmtId="0" fontId="0" fillId="0" borderId="13" xfId="0" applyFill="1" applyBorder="1" applyAlignment="1">
      <alignment vertical="center" wrapText="1"/>
    </xf>
    <xf numFmtId="0" fontId="25" fillId="0" borderId="13" xfId="0" applyFont="1" applyFill="1" applyBorder="1" applyAlignment="1">
      <alignment horizontal="center" vertical="center" wrapText="1"/>
    </xf>
    <xf numFmtId="18" fontId="25" fillId="0" borderId="13" xfId="0" applyNumberFormat="1" applyFont="1" applyFill="1" applyBorder="1" applyAlignment="1">
      <alignment horizontal="center" vertical="center" wrapText="1"/>
    </xf>
    <xf numFmtId="0" fontId="21" fillId="3" borderId="20" xfId="1" applyFill="1" applyBorder="1" applyAlignment="1">
      <alignment horizontal="center" vertical="center" wrapText="1"/>
    </xf>
    <xf numFmtId="0" fontId="22" fillId="3" borderId="20" xfId="0" applyFont="1" applyFill="1" applyBorder="1" applyAlignment="1">
      <alignment horizontal="center" vertical="center" wrapText="1"/>
    </xf>
    <xf numFmtId="0" fontId="22" fillId="3" borderId="24" xfId="0" applyFont="1" applyFill="1" applyBorder="1" applyAlignment="1">
      <alignment horizontal="center" vertical="center" wrapText="1"/>
    </xf>
    <xf numFmtId="0" fontId="25" fillId="0" borderId="26" xfId="0" applyFont="1" applyFill="1" applyBorder="1" applyAlignment="1">
      <alignment horizontal="center" vertical="center" wrapText="1"/>
    </xf>
    <xf numFmtId="0" fontId="25" fillId="0" borderId="24" xfId="0" applyFont="1" applyFill="1" applyBorder="1" applyAlignment="1">
      <alignment horizontal="center" vertical="center" wrapText="1"/>
    </xf>
    <xf numFmtId="18" fontId="25" fillId="0" borderId="24" xfId="0" applyNumberFormat="1" applyFont="1" applyFill="1" applyBorder="1" applyAlignment="1">
      <alignment horizontal="center" vertical="center" wrapText="1"/>
    </xf>
    <xf numFmtId="0" fontId="22" fillId="4" borderId="31" xfId="0" applyFont="1" applyFill="1" applyBorder="1" applyAlignment="1">
      <alignment horizontal="center" vertical="center" wrapText="1"/>
    </xf>
    <xf numFmtId="0" fontId="0" fillId="4" borderId="31" xfId="0" applyFill="1" applyBorder="1" applyAlignment="1">
      <alignment vertical="center" wrapText="1"/>
    </xf>
    <xf numFmtId="0" fontId="22" fillId="4" borderId="32" xfId="0" applyFont="1" applyFill="1" applyBorder="1" applyAlignment="1">
      <alignment horizontal="center" vertical="center" wrapText="1"/>
    </xf>
    <xf numFmtId="0" fontId="20" fillId="0" borderId="0" xfId="0" applyFont="1" applyAlignment="1">
      <alignment horizontal="right"/>
    </xf>
    <xf numFmtId="0" fontId="7" fillId="0" borderId="6" xfId="0" applyFont="1" applyBorder="1" applyAlignment="1">
      <alignment horizontal="right"/>
    </xf>
    <xf numFmtId="0" fontId="19" fillId="0" borderId="0" xfId="0" applyFont="1" applyFill="1" applyBorder="1" applyAlignment="1">
      <alignment horizontal="center" vertical="center" wrapText="1"/>
    </xf>
    <xf numFmtId="0" fontId="28" fillId="0" borderId="0" xfId="0" applyFont="1" applyFill="1" applyBorder="1"/>
    <xf numFmtId="0" fontId="20" fillId="0" borderId="0" xfId="0" applyFont="1" applyFill="1" applyBorder="1" applyAlignment="1">
      <alignment horizontal="center" vertical="center" wrapText="1"/>
    </xf>
    <xf numFmtId="0" fontId="29" fillId="0" borderId="0" xfId="1" applyFont="1" applyFill="1" applyBorder="1" applyAlignment="1">
      <alignment horizontal="center" vertical="center" wrapText="1"/>
    </xf>
    <xf numFmtId="1" fontId="19" fillId="0" borderId="0" xfId="0" applyNumberFormat="1" applyFont="1" applyFill="1" applyBorder="1" applyAlignment="1">
      <alignment horizontal="center" vertical="center" wrapText="1"/>
    </xf>
    <xf numFmtId="164" fontId="20" fillId="0" borderId="0" xfId="0" applyNumberFormat="1" applyFont="1" applyFill="1" applyBorder="1" applyAlignment="1">
      <alignment horizontal="center" vertical="center" wrapText="1"/>
    </xf>
    <xf numFmtId="164" fontId="19" fillId="0" borderId="0" xfId="0" applyNumberFormat="1" applyFont="1" applyFill="1" applyBorder="1" applyAlignment="1">
      <alignment horizontal="center" vertical="center" wrapText="1"/>
    </xf>
    <xf numFmtId="0" fontId="12" fillId="0" borderId="0" xfId="0" applyFont="1" applyAlignment="1">
      <alignment horizontal="center"/>
    </xf>
    <xf numFmtId="0" fontId="6" fillId="0" borderId="5" xfId="0" applyFont="1" applyBorder="1" applyAlignment="1">
      <alignment horizontal="center" vertical="center" wrapText="1"/>
    </xf>
    <xf numFmtId="0" fontId="7" fillId="5" borderId="0" xfId="0" applyFont="1" applyFill="1"/>
    <xf numFmtId="0" fontId="6" fillId="5" borderId="0" xfId="0" applyFont="1" applyFill="1"/>
    <xf numFmtId="0" fontId="9" fillId="5" borderId="0" xfId="0" applyFont="1" applyFill="1"/>
    <xf numFmtId="0" fontId="11" fillId="5" borderId="0" xfId="0" applyFont="1" applyFill="1"/>
    <xf numFmtId="0" fontId="17" fillId="5" borderId="0" xfId="0" applyFont="1" applyFill="1"/>
    <xf numFmtId="0" fontId="7" fillId="0" borderId="0" xfId="0" applyFont="1" applyBorder="1" applyAlignment="1"/>
    <xf numFmtId="0" fontId="9" fillId="0" borderId="0" xfId="0" applyFont="1" applyFill="1"/>
    <xf numFmtId="0" fontId="11" fillId="0" borderId="0" xfId="0" applyFont="1" applyFill="1"/>
    <xf numFmtId="0" fontId="17" fillId="0" borderId="0" xfId="0" applyFont="1" applyFill="1"/>
    <xf numFmtId="0" fontId="6" fillId="0" borderId="6" xfId="0" applyFont="1" applyFill="1" applyBorder="1"/>
    <xf numFmtId="0" fontId="7" fillId="0" borderId="0" xfId="0" applyFont="1" applyFill="1" applyAlignment="1">
      <alignment horizontal="right"/>
    </xf>
    <xf numFmtId="0" fontId="7" fillId="0" borderId="0" xfId="0" applyFont="1" applyFill="1"/>
    <xf numFmtId="0" fontId="6" fillId="0" borderId="7" xfId="0" applyFont="1" applyFill="1" applyBorder="1"/>
    <xf numFmtId="0" fontId="30" fillId="0" borderId="0" xfId="0" applyFont="1"/>
    <xf numFmtId="11" fontId="2" fillId="0" borderId="0" xfId="0" applyNumberFormat="1" applyFont="1"/>
    <xf numFmtId="0" fontId="2" fillId="0" borderId="33" xfId="0" applyFont="1" applyBorder="1"/>
    <xf numFmtId="0" fontId="7" fillId="0" borderId="6" xfId="0" applyFont="1" applyBorder="1"/>
    <xf numFmtId="0" fontId="7" fillId="0" borderId="7" xfId="0" applyFont="1" applyBorder="1"/>
    <xf numFmtId="0" fontId="10" fillId="0" borderId="5" xfId="0" applyFont="1" applyBorder="1" applyAlignment="1">
      <alignment vertical="center"/>
    </xf>
    <xf numFmtId="0" fontId="9" fillId="0" borderId="5" xfId="0" applyFont="1" applyBorder="1"/>
    <xf numFmtId="0" fontId="6" fillId="0" borderId="5" xfId="0" applyFont="1" applyBorder="1"/>
    <xf numFmtId="0" fontId="11" fillId="0" borderId="5" xfId="0" applyFont="1" applyBorder="1"/>
    <xf numFmtId="0" fontId="17" fillId="0" borderId="5" xfId="0" applyFont="1" applyBorder="1"/>
    <xf numFmtId="0" fontId="9" fillId="2" borderId="0" xfId="0" applyFont="1" applyFill="1"/>
    <xf numFmtId="0" fontId="7" fillId="6" borderId="0" xfId="0" applyFont="1" applyFill="1"/>
    <xf numFmtId="0" fontId="6" fillId="0" borderId="7" xfId="0" applyFont="1" applyBorder="1" applyAlignment="1">
      <alignment horizontal="right"/>
    </xf>
    <xf numFmtId="0" fontId="6" fillId="0" borderId="34" xfId="0" applyFont="1" applyBorder="1"/>
    <xf numFmtId="0" fontId="6" fillId="0" borderId="34" xfId="0" applyFont="1" applyBorder="1" applyAlignment="1">
      <alignment horizontal="center"/>
    </xf>
    <xf numFmtId="0" fontId="7" fillId="0" borderId="34" xfId="0" applyFont="1" applyBorder="1"/>
    <xf numFmtId="0" fontId="7" fillId="0" borderId="0" xfId="0" applyFont="1" applyAlignment="1">
      <alignment horizontal="left"/>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1" fillId="0" borderId="0" xfId="0" applyFont="1" applyAlignment="1">
      <alignment horizontal="left"/>
    </xf>
    <xf numFmtId="0" fontId="1" fillId="0" borderId="0" xfId="0" applyFont="1" applyFill="1" applyAlignment="1">
      <alignment horizontal="center"/>
    </xf>
    <xf numFmtId="0" fontId="6" fillId="0" borderId="4" xfId="0" applyFont="1" applyBorder="1" applyAlignment="1">
      <alignment horizontal="center" vertical="center" wrapText="1"/>
    </xf>
    <xf numFmtId="0" fontId="6" fillId="0" borderId="0" xfId="0" applyFont="1" applyBorder="1" applyAlignment="1">
      <alignment horizontal="center" vertical="center" wrapText="1"/>
    </xf>
    <xf numFmtId="0" fontId="6" fillId="0" borderId="5" xfId="0" applyFont="1" applyBorder="1" applyAlignment="1">
      <alignment horizontal="center" vertical="center" wrapText="1"/>
    </xf>
    <xf numFmtId="0" fontId="1" fillId="0" borderId="0" xfId="0" applyFont="1" applyFill="1" applyAlignment="1">
      <alignment horizontal="center" vertical="center"/>
    </xf>
    <xf numFmtId="0" fontId="6" fillId="0" borderId="34" xfId="0" applyFont="1" applyBorder="1" applyAlignment="1">
      <alignment horizontal="center" vertical="center"/>
    </xf>
    <xf numFmtId="0" fontId="7" fillId="0" borderId="6" xfId="0" applyFont="1" applyBorder="1" applyAlignment="1">
      <alignment horizontal="center" vertical="center"/>
    </xf>
    <xf numFmtId="0" fontId="6" fillId="0" borderId="0" xfId="0" applyFont="1" applyAlignment="1">
      <alignment horizontal="center" vertical="center"/>
    </xf>
    <xf numFmtId="0" fontId="7" fillId="2" borderId="0" xfId="0" applyFont="1" applyFill="1" applyAlignment="1">
      <alignment horizontal="left"/>
    </xf>
    <xf numFmtId="0" fontId="22" fillId="4" borderId="15" xfId="0" applyFont="1" applyFill="1" applyBorder="1" applyAlignment="1">
      <alignment horizontal="center" vertical="center" wrapText="1"/>
    </xf>
    <xf numFmtId="0" fontId="22" fillId="4" borderId="10" xfId="0" applyFont="1" applyFill="1" applyBorder="1" applyAlignment="1">
      <alignment horizontal="center" vertical="center" wrapText="1"/>
    </xf>
    <xf numFmtId="0" fontId="22" fillId="4" borderId="28" xfId="0" applyFont="1" applyFill="1" applyBorder="1" applyAlignment="1">
      <alignment horizontal="center" vertical="center" wrapText="1"/>
    </xf>
    <xf numFmtId="0" fontId="22" fillId="4" borderId="16" xfId="0" applyFont="1" applyFill="1" applyBorder="1" applyAlignment="1">
      <alignment horizontal="center" vertical="center" wrapText="1"/>
    </xf>
    <xf numFmtId="0" fontId="22" fillId="4" borderId="12" xfId="0" applyFont="1" applyFill="1" applyBorder="1" applyAlignment="1">
      <alignment horizontal="center" vertical="center" wrapText="1"/>
    </xf>
    <xf numFmtId="0" fontId="22" fillId="4" borderId="24" xfId="0" applyFont="1" applyFill="1" applyBorder="1" applyAlignment="1">
      <alignment horizontal="center" vertical="center" wrapText="1"/>
    </xf>
    <xf numFmtId="0" fontId="22" fillId="4" borderId="8" xfId="0" applyFont="1" applyFill="1" applyBorder="1" applyAlignment="1">
      <alignment horizontal="center" vertical="center" wrapText="1"/>
    </xf>
    <xf numFmtId="0" fontId="22" fillId="4" borderId="30" xfId="0" applyFont="1" applyFill="1" applyBorder="1" applyAlignment="1">
      <alignment horizontal="center" vertical="center" wrapText="1"/>
    </xf>
    <xf numFmtId="0" fontId="21" fillId="4" borderId="8" xfId="1" applyFill="1" applyBorder="1" applyAlignment="1">
      <alignment horizontal="center" vertical="center" wrapText="1"/>
    </xf>
    <xf numFmtId="0" fontId="21" fillId="4" borderId="30" xfId="1" applyFill="1" applyBorder="1" applyAlignment="1">
      <alignment horizontal="center" vertical="center" wrapText="1"/>
    </xf>
    <xf numFmtId="0" fontId="22" fillId="4" borderId="17" xfId="0" applyFont="1" applyFill="1" applyBorder="1" applyAlignment="1">
      <alignment horizontal="center" vertical="center" wrapText="1"/>
    </xf>
    <xf numFmtId="0" fontId="22" fillId="4" borderId="25" xfId="0" applyFont="1" applyFill="1" applyBorder="1" applyAlignment="1">
      <alignment horizontal="center" vertical="center" wrapText="1"/>
    </xf>
    <xf numFmtId="0" fontId="25" fillId="0" borderId="8" xfId="0" applyFont="1" applyFill="1" applyBorder="1" applyAlignment="1">
      <alignment horizontal="center" vertical="center" wrapText="1"/>
    </xf>
    <xf numFmtId="0" fontId="25" fillId="0" borderId="9" xfId="0" applyFont="1" applyFill="1" applyBorder="1" applyAlignment="1">
      <alignment horizontal="center" vertical="center" wrapText="1"/>
    </xf>
    <xf numFmtId="0" fontId="22" fillId="4" borderId="27" xfId="0" applyFont="1" applyFill="1" applyBorder="1" applyAlignment="1">
      <alignment horizontal="center" vertical="center" wrapText="1"/>
    </xf>
    <xf numFmtId="0" fontId="22" fillId="4" borderId="23" xfId="0" applyFont="1" applyFill="1" applyBorder="1" applyAlignment="1">
      <alignment horizontal="center" vertical="center" wrapText="1"/>
    </xf>
    <xf numFmtId="0" fontId="22" fillId="4" borderId="29" xfId="0" applyFont="1" applyFill="1" applyBorder="1" applyAlignment="1">
      <alignment horizontal="center" vertical="center" wrapText="1"/>
    </xf>
    <xf numFmtId="0" fontId="22" fillId="4" borderId="11" xfId="0" applyFont="1" applyFill="1" applyBorder="1" applyAlignment="1">
      <alignment horizontal="center" vertical="center" wrapText="1"/>
    </xf>
    <xf numFmtId="0" fontId="22" fillId="4" borderId="13" xfId="0" applyFont="1" applyFill="1" applyBorder="1" applyAlignment="1">
      <alignment horizontal="center" vertical="center" wrapText="1"/>
    </xf>
    <xf numFmtId="0" fontId="21" fillId="4" borderId="15" xfId="1" applyFill="1" applyBorder="1" applyAlignment="1">
      <alignment horizontal="center" vertical="center" wrapText="1"/>
    </xf>
    <xf numFmtId="0" fontId="21" fillId="4" borderId="11" xfId="1" applyFill="1" applyBorder="1" applyAlignment="1">
      <alignment horizontal="center" vertical="center" wrapText="1"/>
    </xf>
    <xf numFmtId="0" fontId="21" fillId="4" borderId="16" xfId="1" applyFill="1" applyBorder="1" applyAlignment="1">
      <alignment horizontal="center" vertical="center" wrapText="1"/>
    </xf>
    <xf numFmtId="0" fontId="21" fillId="4" borderId="13" xfId="1" applyFill="1" applyBorder="1" applyAlignment="1">
      <alignment horizontal="center" vertical="center" wrapText="1"/>
    </xf>
    <xf numFmtId="0" fontId="22" fillId="3" borderId="19" xfId="0" applyFont="1" applyFill="1" applyBorder="1" applyAlignment="1">
      <alignment horizontal="center" vertical="center" wrapText="1"/>
    </xf>
    <xf numFmtId="0" fontId="22" fillId="3" borderId="21" xfId="0" applyFont="1" applyFill="1" applyBorder="1" applyAlignment="1">
      <alignment horizontal="center" vertical="center" wrapText="1"/>
    </xf>
    <xf numFmtId="0" fontId="22" fillId="3" borderId="22" xfId="0" applyFont="1" applyFill="1" applyBorder="1" applyAlignment="1">
      <alignment horizontal="center" vertical="center" wrapText="1"/>
    </xf>
    <xf numFmtId="0" fontId="22" fillId="3" borderId="16" xfId="0" applyFont="1" applyFill="1" applyBorder="1" applyAlignment="1">
      <alignment horizontal="center" vertical="center" wrapText="1"/>
    </xf>
    <xf numFmtId="0" fontId="22" fillId="3" borderId="12" xfId="0" applyFont="1" applyFill="1" applyBorder="1" applyAlignment="1">
      <alignment horizontal="center" vertical="center" wrapText="1"/>
    </xf>
    <xf numFmtId="0" fontId="22" fillId="3" borderId="24" xfId="0" applyFont="1" applyFill="1" applyBorder="1" applyAlignment="1">
      <alignment horizontal="center" vertical="center" wrapText="1"/>
    </xf>
    <xf numFmtId="0" fontId="22" fillId="3" borderId="8" xfId="0" applyFont="1" applyFill="1" applyBorder="1" applyAlignment="1">
      <alignment horizontal="center" vertical="center" wrapText="1"/>
    </xf>
    <xf numFmtId="0" fontId="22" fillId="3" borderId="9" xfId="0" applyFont="1" applyFill="1" applyBorder="1" applyAlignment="1">
      <alignment horizontal="center" vertical="center" wrapText="1"/>
    </xf>
    <xf numFmtId="0" fontId="21" fillId="3" borderId="8" xfId="1" applyFill="1" applyBorder="1" applyAlignment="1">
      <alignment horizontal="center" vertical="center" wrapText="1"/>
    </xf>
    <xf numFmtId="0" fontId="21" fillId="3" borderId="9" xfId="1" applyFill="1" applyBorder="1" applyAlignment="1">
      <alignment horizontal="center" vertical="center" wrapText="1"/>
    </xf>
    <xf numFmtId="0" fontId="22" fillId="3" borderId="17" xfId="0" applyFont="1" applyFill="1" applyBorder="1" applyAlignment="1">
      <alignment horizontal="center" vertical="center" wrapText="1"/>
    </xf>
    <xf numFmtId="0" fontId="22" fillId="3" borderId="25" xfId="0" applyFont="1" applyFill="1" applyBorder="1" applyAlignment="1">
      <alignment horizontal="center" vertical="center" wrapText="1"/>
    </xf>
    <xf numFmtId="0" fontId="21" fillId="3" borderId="19" xfId="1" applyFill="1" applyBorder="1" applyAlignment="1">
      <alignment horizontal="center" vertical="center" wrapText="1"/>
    </xf>
    <xf numFmtId="0" fontId="21" fillId="3" borderId="20" xfId="1" applyFill="1" applyBorder="1" applyAlignment="1">
      <alignment horizontal="center" vertical="center" wrapText="1"/>
    </xf>
    <xf numFmtId="0" fontId="23" fillId="3" borderId="16" xfId="0" applyFont="1" applyFill="1" applyBorder="1" applyAlignment="1">
      <alignment horizontal="center" vertical="center" wrapText="1"/>
    </xf>
    <xf numFmtId="0" fontId="23" fillId="3" borderId="13" xfId="0" applyFont="1" applyFill="1" applyBorder="1" applyAlignment="1">
      <alignment horizontal="center" vertical="center" wrapText="1"/>
    </xf>
    <xf numFmtId="0" fontId="22" fillId="3" borderId="18" xfId="0" applyFont="1" applyFill="1" applyBorder="1" applyAlignment="1">
      <alignment horizontal="center" vertical="center" wrapText="1"/>
    </xf>
    <xf numFmtId="0" fontId="22" fillId="3" borderId="23" xfId="0" applyFont="1" applyFill="1" applyBorder="1" applyAlignment="1">
      <alignment horizontal="center" vertical="center" wrapText="1"/>
    </xf>
    <xf numFmtId="0" fontId="22" fillId="3" borderId="26" xfId="0" applyFont="1" applyFill="1" applyBorder="1" applyAlignment="1">
      <alignment horizontal="center" vertical="center" wrapText="1"/>
    </xf>
    <xf numFmtId="0" fontId="22" fillId="3" borderId="20" xfId="0" applyFont="1" applyFill="1" applyBorder="1" applyAlignment="1">
      <alignment horizontal="center" vertical="center" wrapText="1"/>
    </xf>
    <xf numFmtId="0" fontId="22" fillId="3" borderId="13"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FF00"/>
      <color rgb="FFFFFFCC"/>
      <color rgb="FFCC00CC"/>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9</xdr:col>
      <xdr:colOff>0</xdr:colOff>
      <xdr:row>8</xdr:row>
      <xdr:rowOff>9525</xdr:rowOff>
    </xdr:from>
    <xdr:to>
      <xdr:col>16</xdr:col>
      <xdr:colOff>85725</xdr:colOff>
      <xdr:row>27</xdr:row>
      <xdr:rowOff>0</xdr:rowOff>
    </xdr:to>
    <xdr:sp macro="" textlink="">
      <xdr:nvSpPr>
        <xdr:cNvPr id="2" name="Rectangle 1"/>
        <xdr:cNvSpPr/>
      </xdr:nvSpPr>
      <xdr:spPr>
        <a:xfrm>
          <a:off x="9363075" y="1381125"/>
          <a:ext cx="4352925" cy="2962275"/>
        </a:xfrm>
        <a:prstGeom prst="rect">
          <a:avLst/>
        </a:prstGeom>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GB" sz="1100"/>
        </a:p>
      </xdr:txBody>
    </xdr:sp>
    <xdr:clientData/>
  </xdr:twoCellAnchor>
  <xdr:twoCellAnchor>
    <xdr:from>
      <xdr:col>9</xdr:col>
      <xdr:colOff>457201</xdr:colOff>
      <xdr:row>10</xdr:row>
      <xdr:rowOff>35464</xdr:rowOff>
    </xdr:from>
    <xdr:to>
      <xdr:col>12</xdr:col>
      <xdr:colOff>57151</xdr:colOff>
      <xdr:row>24</xdr:row>
      <xdr:rowOff>135986</xdr:rowOff>
    </xdr:to>
    <xdr:sp macro="" textlink="">
      <xdr:nvSpPr>
        <xdr:cNvPr id="3" name="Rectangle 2"/>
        <xdr:cNvSpPr/>
      </xdr:nvSpPr>
      <xdr:spPr>
        <a:xfrm>
          <a:off x="9820276" y="1730914"/>
          <a:ext cx="1428750" cy="226269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47626</xdr:colOff>
      <xdr:row>10</xdr:row>
      <xdr:rowOff>35464</xdr:rowOff>
    </xdr:from>
    <xdr:to>
      <xdr:col>15</xdr:col>
      <xdr:colOff>257176</xdr:colOff>
      <xdr:row>24</xdr:row>
      <xdr:rowOff>135986</xdr:rowOff>
    </xdr:to>
    <xdr:sp macro="" textlink="">
      <xdr:nvSpPr>
        <xdr:cNvPr id="5" name="Rectangle 4"/>
        <xdr:cNvSpPr/>
      </xdr:nvSpPr>
      <xdr:spPr>
        <a:xfrm>
          <a:off x="11849101" y="1730914"/>
          <a:ext cx="1428750" cy="226269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180975</xdr:colOff>
      <xdr:row>30</xdr:row>
      <xdr:rowOff>104776</xdr:rowOff>
    </xdr:from>
    <xdr:to>
      <xdr:col>11</xdr:col>
      <xdr:colOff>504825</xdr:colOff>
      <xdr:row>47</xdr:row>
      <xdr:rowOff>95251</xdr:rowOff>
    </xdr:to>
    <xdr:grpSp>
      <xdr:nvGrpSpPr>
        <xdr:cNvPr id="10" name="Group 9"/>
        <xdr:cNvGrpSpPr/>
      </xdr:nvGrpSpPr>
      <xdr:grpSpPr>
        <a:xfrm>
          <a:off x="9296400" y="5124451"/>
          <a:ext cx="1543050" cy="2743200"/>
          <a:chOff x="11744325" y="4943475"/>
          <a:chExt cx="1543050" cy="2895600"/>
        </a:xfrm>
      </xdr:grpSpPr>
      <xdr:sp macro="" textlink="">
        <xdr:nvSpPr>
          <xdr:cNvPr id="7" name="Rectangle 6"/>
          <xdr:cNvSpPr/>
        </xdr:nvSpPr>
        <xdr:spPr>
          <a:xfrm>
            <a:off x="12172950" y="4943475"/>
            <a:ext cx="609600" cy="6858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 name="Rectangle 8"/>
          <xdr:cNvSpPr/>
        </xdr:nvSpPr>
        <xdr:spPr>
          <a:xfrm>
            <a:off x="12182475" y="7153275"/>
            <a:ext cx="609600" cy="6858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8" name="Rounded Rectangle 7"/>
          <xdr:cNvSpPr/>
        </xdr:nvSpPr>
        <xdr:spPr>
          <a:xfrm>
            <a:off x="11744325" y="5619750"/>
            <a:ext cx="1543050" cy="1600200"/>
          </a:xfrm>
          <a:prstGeom prst="roundRect">
            <a:avLst/>
          </a:prstGeom>
          <a:solidFill>
            <a:schemeClr val="bg1">
              <a:lumMod val="65000"/>
            </a:schemeClr>
          </a:solidFill>
          <a:ln w="635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9</xdr:col>
      <xdr:colOff>581025</xdr:colOff>
      <xdr:row>30</xdr:row>
      <xdr:rowOff>38100</xdr:rowOff>
    </xdr:from>
    <xdr:to>
      <xdr:col>11</xdr:col>
      <xdr:colOff>19050</xdr:colOff>
      <xdr:row>30</xdr:row>
      <xdr:rowOff>38100</xdr:rowOff>
    </xdr:to>
    <xdr:cxnSp macro="">
      <xdr:nvCxnSpPr>
        <xdr:cNvPr id="13" name="Straight Arrow Connector 12"/>
        <xdr:cNvCxnSpPr/>
      </xdr:nvCxnSpPr>
      <xdr:spPr>
        <a:xfrm>
          <a:off x="11525250" y="4543425"/>
          <a:ext cx="657225" cy="0"/>
        </a:xfrm>
        <a:prstGeom prst="straightConnector1">
          <a:avLst/>
        </a:prstGeom>
        <a:ln>
          <a:solidFill>
            <a:srgbClr val="CC00CC"/>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285750</xdr:colOff>
      <xdr:row>10</xdr:row>
      <xdr:rowOff>38100</xdr:rowOff>
    </xdr:from>
    <xdr:to>
      <xdr:col>16</xdr:col>
      <xdr:colOff>95250</xdr:colOff>
      <xdr:row>10</xdr:row>
      <xdr:rowOff>38100</xdr:rowOff>
    </xdr:to>
    <xdr:cxnSp macro="">
      <xdr:nvCxnSpPr>
        <xdr:cNvPr id="14" name="Straight Arrow Connector 13"/>
        <xdr:cNvCxnSpPr/>
      </xdr:nvCxnSpPr>
      <xdr:spPr>
        <a:xfrm>
          <a:off x="13306425" y="1733550"/>
          <a:ext cx="419100" cy="0"/>
        </a:xfrm>
        <a:prstGeom prst="straightConnector1">
          <a:avLst/>
        </a:prstGeom>
        <a:ln>
          <a:solidFill>
            <a:srgbClr val="CC00CC"/>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323850</xdr:colOff>
      <xdr:row>10</xdr:row>
      <xdr:rowOff>28576</xdr:rowOff>
    </xdr:from>
    <xdr:to>
      <xdr:col>15</xdr:col>
      <xdr:colOff>323850</xdr:colOff>
      <xdr:row>25</xdr:row>
      <xdr:rowOff>0</xdr:rowOff>
    </xdr:to>
    <xdr:cxnSp macro="">
      <xdr:nvCxnSpPr>
        <xdr:cNvPr id="16" name="Straight Arrow Connector 15"/>
        <xdr:cNvCxnSpPr/>
      </xdr:nvCxnSpPr>
      <xdr:spPr>
        <a:xfrm flipV="1">
          <a:off x="13344525" y="1724026"/>
          <a:ext cx="0" cy="2295524"/>
        </a:xfrm>
        <a:prstGeom prst="straightConnector1">
          <a:avLst/>
        </a:prstGeom>
        <a:ln>
          <a:solidFill>
            <a:srgbClr val="CC00CC"/>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228600</xdr:colOff>
      <xdr:row>24</xdr:row>
      <xdr:rowOff>142875</xdr:rowOff>
    </xdr:from>
    <xdr:to>
      <xdr:col>15</xdr:col>
      <xdr:colOff>228600</xdr:colOff>
      <xdr:row>27</xdr:row>
      <xdr:rowOff>0</xdr:rowOff>
    </xdr:to>
    <xdr:cxnSp macro="">
      <xdr:nvCxnSpPr>
        <xdr:cNvPr id="15" name="Straight Arrow Connector 14"/>
        <xdr:cNvCxnSpPr/>
      </xdr:nvCxnSpPr>
      <xdr:spPr>
        <a:xfrm flipV="1">
          <a:off x="13249275" y="4000500"/>
          <a:ext cx="0" cy="342900"/>
        </a:xfrm>
        <a:prstGeom prst="straightConnector1">
          <a:avLst/>
        </a:prstGeom>
        <a:ln>
          <a:solidFill>
            <a:srgbClr val="CC00CC"/>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323850</xdr:colOff>
      <xdr:row>8</xdr:row>
      <xdr:rowOff>38100</xdr:rowOff>
    </xdr:from>
    <xdr:to>
      <xdr:col>15</xdr:col>
      <xdr:colOff>323850</xdr:colOff>
      <xdr:row>10</xdr:row>
      <xdr:rowOff>57150</xdr:rowOff>
    </xdr:to>
    <xdr:cxnSp macro="">
      <xdr:nvCxnSpPr>
        <xdr:cNvPr id="17" name="Straight Arrow Connector 16"/>
        <xdr:cNvCxnSpPr/>
      </xdr:nvCxnSpPr>
      <xdr:spPr>
        <a:xfrm flipV="1">
          <a:off x="13344525" y="1409700"/>
          <a:ext cx="0" cy="342900"/>
        </a:xfrm>
        <a:prstGeom prst="straightConnector1">
          <a:avLst/>
        </a:prstGeom>
        <a:ln>
          <a:solidFill>
            <a:srgbClr val="CC00CC"/>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266700</xdr:colOff>
      <xdr:row>27</xdr:row>
      <xdr:rowOff>95250</xdr:rowOff>
    </xdr:from>
    <xdr:to>
      <xdr:col>16</xdr:col>
      <xdr:colOff>76200</xdr:colOff>
      <xdr:row>27</xdr:row>
      <xdr:rowOff>95250</xdr:rowOff>
    </xdr:to>
    <xdr:cxnSp macro="">
      <xdr:nvCxnSpPr>
        <xdr:cNvPr id="18" name="Straight Arrow Connector 17"/>
        <xdr:cNvCxnSpPr/>
      </xdr:nvCxnSpPr>
      <xdr:spPr>
        <a:xfrm>
          <a:off x="13287375" y="4438650"/>
          <a:ext cx="419100" cy="0"/>
        </a:xfrm>
        <a:prstGeom prst="straightConnector1">
          <a:avLst/>
        </a:prstGeom>
        <a:ln>
          <a:solidFill>
            <a:srgbClr val="CC00CC"/>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xdr:colOff>
      <xdr:row>24</xdr:row>
      <xdr:rowOff>123825</xdr:rowOff>
    </xdr:from>
    <xdr:to>
      <xdr:col>13</xdr:col>
      <xdr:colOff>0</xdr:colOff>
      <xdr:row>24</xdr:row>
      <xdr:rowOff>123825</xdr:rowOff>
    </xdr:to>
    <xdr:cxnSp macro="">
      <xdr:nvCxnSpPr>
        <xdr:cNvPr id="19" name="Straight Arrow Connector 18"/>
        <xdr:cNvCxnSpPr/>
      </xdr:nvCxnSpPr>
      <xdr:spPr>
        <a:xfrm>
          <a:off x="11258550" y="3981450"/>
          <a:ext cx="542925" cy="0"/>
        </a:xfrm>
        <a:prstGeom prst="straightConnector1">
          <a:avLst/>
        </a:prstGeom>
        <a:ln>
          <a:solidFill>
            <a:srgbClr val="CC00CC"/>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24</xdr:row>
      <xdr:rowOff>133350</xdr:rowOff>
    </xdr:from>
    <xdr:to>
      <xdr:col>9</xdr:col>
      <xdr:colOff>428625</xdr:colOff>
      <xdr:row>24</xdr:row>
      <xdr:rowOff>133350</xdr:rowOff>
    </xdr:to>
    <xdr:cxnSp macro="">
      <xdr:nvCxnSpPr>
        <xdr:cNvPr id="21" name="Straight Arrow Connector 20"/>
        <xdr:cNvCxnSpPr/>
      </xdr:nvCxnSpPr>
      <xdr:spPr>
        <a:xfrm>
          <a:off x="9372600" y="3990975"/>
          <a:ext cx="419100" cy="0"/>
        </a:xfrm>
        <a:prstGeom prst="straightConnector1">
          <a:avLst/>
        </a:prstGeom>
        <a:ln>
          <a:solidFill>
            <a:srgbClr val="CC00CC"/>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38100</xdr:colOff>
      <xdr:row>24</xdr:row>
      <xdr:rowOff>57150</xdr:rowOff>
    </xdr:from>
    <xdr:to>
      <xdr:col>15</xdr:col>
      <xdr:colOff>219075</xdr:colOff>
      <xdr:row>24</xdr:row>
      <xdr:rowOff>57151</xdr:rowOff>
    </xdr:to>
    <xdr:cxnSp macro="">
      <xdr:nvCxnSpPr>
        <xdr:cNvPr id="22" name="Straight Arrow Connector 21"/>
        <xdr:cNvCxnSpPr/>
      </xdr:nvCxnSpPr>
      <xdr:spPr>
        <a:xfrm flipV="1">
          <a:off x="12268200" y="3724275"/>
          <a:ext cx="1400175" cy="1"/>
        </a:xfrm>
        <a:prstGeom prst="straightConnector1">
          <a:avLst/>
        </a:prstGeom>
        <a:ln>
          <a:solidFill>
            <a:srgbClr val="CC00CC"/>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24</xdr:row>
      <xdr:rowOff>66675</xdr:rowOff>
    </xdr:from>
    <xdr:to>
      <xdr:col>12</xdr:col>
      <xdr:colOff>47625</xdr:colOff>
      <xdr:row>24</xdr:row>
      <xdr:rowOff>66676</xdr:rowOff>
    </xdr:to>
    <xdr:cxnSp macro="">
      <xdr:nvCxnSpPr>
        <xdr:cNvPr id="23" name="Straight Arrow Connector 22"/>
        <xdr:cNvCxnSpPr/>
      </xdr:nvCxnSpPr>
      <xdr:spPr>
        <a:xfrm flipV="1">
          <a:off x="10267950" y="3733800"/>
          <a:ext cx="1400175" cy="1"/>
        </a:xfrm>
        <a:prstGeom prst="straightConnector1">
          <a:avLst/>
        </a:prstGeom>
        <a:ln>
          <a:solidFill>
            <a:srgbClr val="CC00CC"/>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xdr:colOff>
      <xdr:row>45</xdr:row>
      <xdr:rowOff>85725</xdr:rowOff>
    </xdr:from>
    <xdr:to>
      <xdr:col>11</xdr:col>
      <xdr:colOff>466725</xdr:colOff>
      <xdr:row>45</xdr:row>
      <xdr:rowOff>85726</xdr:rowOff>
    </xdr:to>
    <xdr:cxnSp macro="">
      <xdr:nvCxnSpPr>
        <xdr:cNvPr id="6" name="Straight Arrow Connector 5"/>
        <xdr:cNvCxnSpPr/>
      </xdr:nvCxnSpPr>
      <xdr:spPr>
        <a:xfrm>
          <a:off x="10658475" y="7372350"/>
          <a:ext cx="428625" cy="1"/>
        </a:xfrm>
        <a:prstGeom prst="straightConnector1">
          <a:avLst/>
        </a:prstGeom>
        <a:ln>
          <a:solidFill>
            <a:srgbClr val="CC00CC"/>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276225</xdr:colOff>
      <xdr:row>41</xdr:row>
      <xdr:rowOff>114300</xdr:rowOff>
    </xdr:from>
    <xdr:to>
      <xdr:col>12</xdr:col>
      <xdr:colOff>0</xdr:colOff>
      <xdr:row>41</xdr:row>
      <xdr:rowOff>114301</xdr:rowOff>
    </xdr:to>
    <xdr:cxnSp macro="">
      <xdr:nvCxnSpPr>
        <xdr:cNvPr id="24" name="Straight Arrow Connector 23"/>
        <xdr:cNvCxnSpPr/>
      </xdr:nvCxnSpPr>
      <xdr:spPr>
        <a:xfrm>
          <a:off x="10896600" y="6753225"/>
          <a:ext cx="333375" cy="1"/>
        </a:xfrm>
        <a:prstGeom prst="straightConnector1">
          <a:avLst/>
        </a:prstGeom>
        <a:ln>
          <a:solidFill>
            <a:srgbClr val="CC00CC"/>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200025</xdr:colOff>
      <xdr:row>7</xdr:row>
      <xdr:rowOff>142875</xdr:rowOff>
    </xdr:from>
    <xdr:to>
      <xdr:col>16</xdr:col>
      <xdr:colOff>200025</xdr:colOff>
      <xdr:row>27</xdr:row>
      <xdr:rowOff>0</xdr:rowOff>
    </xdr:to>
    <xdr:cxnSp macro="">
      <xdr:nvCxnSpPr>
        <xdr:cNvPr id="25" name="Straight Arrow Connector 24"/>
        <xdr:cNvCxnSpPr/>
      </xdr:nvCxnSpPr>
      <xdr:spPr>
        <a:xfrm flipV="1">
          <a:off x="13868400" y="1352550"/>
          <a:ext cx="0" cy="2990850"/>
        </a:xfrm>
        <a:prstGeom prst="straightConnector1">
          <a:avLst/>
        </a:prstGeom>
        <a:ln>
          <a:solidFill>
            <a:srgbClr val="CC00CC"/>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561975</xdr:colOff>
      <xdr:row>28</xdr:row>
      <xdr:rowOff>0</xdr:rowOff>
    </xdr:from>
    <xdr:to>
      <xdr:col>16</xdr:col>
      <xdr:colOff>104775</xdr:colOff>
      <xdr:row>28</xdr:row>
      <xdr:rowOff>1</xdr:rowOff>
    </xdr:to>
    <xdr:cxnSp macro="">
      <xdr:nvCxnSpPr>
        <xdr:cNvPr id="28" name="Straight Arrow Connector 27"/>
        <xdr:cNvCxnSpPr/>
      </xdr:nvCxnSpPr>
      <xdr:spPr>
        <a:xfrm>
          <a:off x="9353550" y="4505325"/>
          <a:ext cx="4419600" cy="1"/>
        </a:xfrm>
        <a:prstGeom prst="straightConnector1">
          <a:avLst/>
        </a:prstGeom>
        <a:ln>
          <a:solidFill>
            <a:srgbClr val="CC00CC"/>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76200</xdr:colOff>
      <xdr:row>30</xdr:row>
      <xdr:rowOff>123827</xdr:rowOff>
    </xdr:from>
    <xdr:to>
      <xdr:col>9</xdr:col>
      <xdr:colOff>76200</xdr:colOff>
      <xdr:row>47</xdr:row>
      <xdr:rowOff>104775</xdr:rowOff>
    </xdr:to>
    <xdr:cxnSp macro="">
      <xdr:nvCxnSpPr>
        <xdr:cNvPr id="37" name="Straight Arrow Connector 36"/>
        <xdr:cNvCxnSpPr/>
      </xdr:nvCxnSpPr>
      <xdr:spPr>
        <a:xfrm flipV="1">
          <a:off x="9477375" y="4981577"/>
          <a:ext cx="0" cy="2733673"/>
        </a:xfrm>
        <a:prstGeom prst="straightConnector1">
          <a:avLst/>
        </a:prstGeom>
        <a:ln>
          <a:solidFill>
            <a:srgbClr val="CC00CC"/>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428624</xdr:colOff>
      <xdr:row>53</xdr:row>
      <xdr:rowOff>9525</xdr:rowOff>
    </xdr:from>
    <xdr:to>
      <xdr:col>16</xdr:col>
      <xdr:colOff>409575</xdr:colOff>
      <xdr:row>71</xdr:row>
      <xdr:rowOff>47625</xdr:rowOff>
    </xdr:to>
    <xdr:sp macro="" textlink="">
      <xdr:nvSpPr>
        <xdr:cNvPr id="11" name="Rectangle 10"/>
        <xdr:cNvSpPr/>
      </xdr:nvSpPr>
      <xdr:spPr>
        <a:xfrm>
          <a:off x="9544049" y="8782050"/>
          <a:ext cx="4248151" cy="2952750"/>
        </a:xfrm>
        <a:prstGeom prst="rect">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19050</xdr:colOff>
      <xdr:row>56</xdr:row>
      <xdr:rowOff>66675</xdr:rowOff>
    </xdr:from>
    <xdr:to>
      <xdr:col>11</xdr:col>
      <xdr:colOff>504825</xdr:colOff>
      <xdr:row>69</xdr:row>
      <xdr:rowOff>0</xdr:rowOff>
    </xdr:to>
    <xdr:sp macro="" textlink="">
      <xdr:nvSpPr>
        <xdr:cNvPr id="12" name="Rounded Rectangle 11"/>
        <xdr:cNvSpPr/>
      </xdr:nvSpPr>
      <xdr:spPr>
        <a:xfrm>
          <a:off x="10353675" y="9324975"/>
          <a:ext cx="485775" cy="2038350"/>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GB" sz="1600" b="1">
              <a:solidFill>
                <a:sysClr val="windowText" lastClr="000000"/>
              </a:solidFill>
            </a:rPr>
            <a:t>LV</a:t>
          </a:r>
        </a:p>
      </xdr:txBody>
    </xdr:sp>
    <xdr:clientData/>
  </xdr:twoCellAnchor>
  <xdr:twoCellAnchor>
    <xdr:from>
      <xdr:col>13</xdr:col>
      <xdr:colOff>19049</xdr:colOff>
      <xdr:row>56</xdr:row>
      <xdr:rowOff>38100</xdr:rowOff>
    </xdr:from>
    <xdr:to>
      <xdr:col>13</xdr:col>
      <xdr:colOff>514350</xdr:colOff>
      <xdr:row>68</xdr:row>
      <xdr:rowOff>133350</xdr:rowOff>
    </xdr:to>
    <xdr:sp macro="" textlink="">
      <xdr:nvSpPr>
        <xdr:cNvPr id="29" name="Rounded Rectangle 28"/>
        <xdr:cNvSpPr/>
      </xdr:nvSpPr>
      <xdr:spPr>
        <a:xfrm>
          <a:off x="11572874" y="9296400"/>
          <a:ext cx="495301" cy="2038350"/>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GB" sz="1600" b="1">
              <a:solidFill>
                <a:sysClr val="windowText" lastClr="000000"/>
              </a:solidFill>
            </a:rPr>
            <a:t>HV</a:t>
          </a:r>
        </a:p>
      </xdr:txBody>
    </xdr:sp>
    <xdr:clientData/>
  </xdr:twoCellAnchor>
  <xdr:twoCellAnchor>
    <xdr:from>
      <xdr:col>11</xdr:col>
      <xdr:colOff>514350</xdr:colOff>
      <xdr:row>68</xdr:row>
      <xdr:rowOff>38100</xdr:rowOff>
    </xdr:from>
    <xdr:to>
      <xdr:col>13</xdr:col>
      <xdr:colOff>38100</xdr:colOff>
      <xdr:row>68</xdr:row>
      <xdr:rowOff>38100</xdr:rowOff>
    </xdr:to>
    <xdr:cxnSp macro="">
      <xdr:nvCxnSpPr>
        <xdr:cNvPr id="34" name="Straight Arrow Connector 33"/>
        <xdr:cNvCxnSpPr/>
      </xdr:nvCxnSpPr>
      <xdr:spPr>
        <a:xfrm>
          <a:off x="10848975" y="11239500"/>
          <a:ext cx="742950" cy="0"/>
        </a:xfrm>
        <a:prstGeom prst="straightConnector1">
          <a:avLst/>
        </a:prstGeom>
        <a:ln>
          <a:solidFill>
            <a:sysClr val="windowText" lastClr="000000"/>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166688</xdr:colOff>
      <xdr:row>56</xdr:row>
      <xdr:rowOff>57150</xdr:rowOff>
    </xdr:from>
    <xdr:to>
      <xdr:col>11</xdr:col>
      <xdr:colOff>166688</xdr:colOff>
      <xdr:row>68</xdr:row>
      <xdr:rowOff>152400</xdr:rowOff>
    </xdr:to>
    <xdr:cxnSp macro="">
      <xdr:nvCxnSpPr>
        <xdr:cNvPr id="35" name="Straight Connector 34"/>
        <xdr:cNvCxnSpPr/>
      </xdr:nvCxnSpPr>
      <xdr:spPr>
        <a:xfrm>
          <a:off x="10501313" y="9315450"/>
          <a:ext cx="0" cy="203835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80963</xdr:colOff>
      <xdr:row>56</xdr:row>
      <xdr:rowOff>76200</xdr:rowOff>
    </xdr:from>
    <xdr:to>
      <xdr:col>11</xdr:col>
      <xdr:colOff>80963</xdr:colOff>
      <xdr:row>69</xdr:row>
      <xdr:rowOff>9525</xdr:rowOff>
    </xdr:to>
    <xdr:cxnSp macro="">
      <xdr:nvCxnSpPr>
        <xdr:cNvPr id="38" name="Straight Connector 37"/>
        <xdr:cNvCxnSpPr/>
      </xdr:nvCxnSpPr>
      <xdr:spPr>
        <a:xfrm>
          <a:off x="10415588" y="9334500"/>
          <a:ext cx="0" cy="203835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442913</xdr:colOff>
      <xdr:row>56</xdr:row>
      <xdr:rowOff>47625</xdr:rowOff>
    </xdr:from>
    <xdr:to>
      <xdr:col>11</xdr:col>
      <xdr:colOff>442913</xdr:colOff>
      <xdr:row>68</xdr:row>
      <xdr:rowOff>142875</xdr:rowOff>
    </xdr:to>
    <xdr:cxnSp macro="">
      <xdr:nvCxnSpPr>
        <xdr:cNvPr id="39" name="Straight Connector 38"/>
        <xdr:cNvCxnSpPr/>
      </xdr:nvCxnSpPr>
      <xdr:spPr>
        <a:xfrm>
          <a:off x="10777538" y="9305925"/>
          <a:ext cx="0" cy="203835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366713</xdr:colOff>
      <xdr:row>56</xdr:row>
      <xdr:rowOff>47625</xdr:rowOff>
    </xdr:from>
    <xdr:to>
      <xdr:col>11</xdr:col>
      <xdr:colOff>366713</xdr:colOff>
      <xdr:row>68</xdr:row>
      <xdr:rowOff>142875</xdr:rowOff>
    </xdr:to>
    <xdr:cxnSp macro="">
      <xdr:nvCxnSpPr>
        <xdr:cNvPr id="40" name="Straight Connector 39"/>
        <xdr:cNvCxnSpPr/>
      </xdr:nvCxnSpPr>
      <xdr:spPr>
        <a:xfrm>
          <a:off x="10701338" y="9305925"/>
          <a:ext cx="0" cy="203835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66</xdr:row>
      <xdr:rowOff>57152</xdr:rowOff>
    </xdr:from>
    <xdr:to>
      <xdr:col>11</xdr:col>
      <xdr:colOff>171451</xdr:colOff>
      <xdr:row>69</xdr:row>
      <xdr:rowOff>19050</xdr:rowOff>
    </xdr:to>
    <xdr:cxnSp macro="">
      <xdr:nvCxnSpPr>
        <xdr:cNvPr id="41" name="Straight Arrow Connector 40"/>
        <xdr:cNvCxnSpPr/>
      </xdr:nvCxnSpPr>
      <xdr:spPr>
        <a:xfrm flipV="1">
          <a:off x="10506075" y="10934702"/>
          <a:ext cx="1" cy="447673"/>
        </a:xfrm>
        <a:prstGeom prst="straightConnector1">
          <a:avLst/>
        </a:prstGeom>
        <a:ln>
          <a:solidFill>
            <a:sysClr val="windowText" lastClr="000000"/>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442913</xdr:colOff>
      <xdr:row>56</xdr:row>
      <xdr:rowOff>38100</xdr:rowOff>
    </xdr:from>
    <xdr:to>
      <xdr:col>13</xdr:col>
      <xdr:colOff>442913</xdr:colOff>
      <xdr:row>68</xdr:row>
      <xdr:rowOff>133350</xdr:rowOff>
    </xdr:to>
    <xdr:cxnSp macro="">
      <xdr:nvCxnSpPr>
        <xdr:cNvPr id="47" name="Straight Connector 46"/>
        <xdr:cNvCxnSpPr/>
      </xdr:nvCxnSpPr>
      <xdr:spPr>
        <a:xfrm>
          <a:off x="11996738" y="9296400"/>
          <a:ext cx="0" cy="203835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71438</xdr:colOff>
      <xdr:row>56</xdr:row>
      <xdr:rowOff>38100</xdr:rowOff>
    </xdr:from>
    <xdr:to>
      <xdr:col>13</xdr:col>
      <xdr:colOff>71438</xdr:colOff>
      <xdr:row>68</xdr:row>
      <xdr:rowOff>133350</xdr:rowOff>
    </xdr:to>
    <xdr:cxnSp macro="">
      <xdr:nvCxnSpPr>
        <xdr:cNvPr id="48" name="Straight Connector 47"/>
        <xdr:cNvCxnSpPr/>
      </xdr:nvCxnSpPr>
      <xdr:spPr>
        <a:xfrm>
          <a:off x="11625263" y="9296400"/>
          <a:ext cx="0" cy="203835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147638</xdr:colOff>
      <xdr:row>56</xdr:row>
      <xdr:rowOff>19050</xdr:rowOff>
    </xdr:from>
    <xdr:to>
      <xdr:col>13</xdr:col>
      <xdr:colOff>147638</xdr:colOff>
      <xdr:row>68</xdr:row>
      <xdr:rowOff>114300</xdr:rowOff>
    </xdr:to>
    <xdr:cxnSp macro="">
      <xdr:nvCxnSpPr>
        <xdr:cNvPr id="49" name="Straight Connector 48"/>
        <xdr:cNvCxnSpPr/>
      </xdr:nvCxnSpPr>
      <xdr:spPr>
        <a:xfrm>
          <a:off x="11701463" y="9277350"/>
          <a:ext cx="0" cy="203835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376238</xdr:colOff>
      <xdr:row>56</xdr:row>
      <xdr:rowOff>38100</xdr:rowOff>
    </xdr:from>
    <xdr:to>
      <xdr:col>13</xdr:col>
      <xdr:colOff>376238</xdr:colOff>
      <xdr:row>68</xdr:row>
      <xdr:rowOff>133350</xdr:rowOff>
    </xdr:to>
    <xdr:cxnSp macro="">
      <xdr:nvCxnSpPr>
        <xdr:cNvPr id="50" name="Straight Connector 49"/>
        <xdr:cNvCxnSpPr/>
      </xdr:nvCxnSpPr>
      <xdr:spPr>
        <a:xfrm>
          <a:off x="11930063" y="9296400"/>
          <a:ext cx="0" cy="203835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485775</xdr:colOff>
      <xdr:row>68</xdr:row>
      <xdr:rowOff>19050</xdr:rowOff>
    </xdr:from>
    <xdr:to>
      <xdr:col>11</xdr:col>
      <xdr:colOff>9525</xdr:colOff>
      <xdr:row>68</xdr:row>
      <xdr:rowOff>19050</xdr:rowOff>
    </xdr:to>
    <xdr:cxnSp macro="">
      <xdr:nvCxnSpPr>
        <xdr:cNvPr id="53" name="Straight Arrow Connector 52"/>
        <xdr:cNvCxnSpPr/>
      </xdr:nvCxnSpPr>
      <xdr:spPr>
        <a:xfrm>
          <a:off x="9601200" y="11220450"/>
          <a:ext cx="742950" cy="0"/>
        </a:xfrm>
        <a:prstGeom prst="straightConnector1">
          <a:avLst/>
        </a:prstGeom>
        <a:ln>
          <a:solidFill>
            <a:sysClr val="windowText" lastClr="000000"/>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66</xdr:row>
      <xdr:rowOff>28577</xdr:rowOff>
    </xdr:from>
    <xdr:to>
      <xdr:col>13</xdr:col>
      <xdr:colOff>152401</xdr:colOff>
      <xdr:row>68</xdr:row>
      <xdr:rowOff>152400</xdr:rowOff>
    </xdr:to>
    <xdr:cxnSp macro="">
      <xdr:nvCxnSpPr>
        <xdr:cNvPr id="56" name="Straight Arrow Connector 55"/>
        <xdr:cNvCxnSpPr/>
      </xdr:nvCxnSpPr>
      <xdr:spPr>
        <a:xfrm flipV="1">
          <a:off x="11706225" y="10906127"/>
          <a:ext cx="1" cy="447673"/>
        </a:xfrm>
        <a:prstGeom prst="straightConnector1">
          <a:avLst/>
        </a:prstGeom>
        <a:ln>
          <a:solidFill>
            <a:sysClr val="windowText" lastClr="000000"/>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428625</xdr:colOff>
      <xdr:row>71</xdr:row>
      <xdr:rowOff>114300</xdr:rowOff>
    </xdr:from>
    <xdr:to>
      <xdr:col>16</xdr:col>
      <xdr:colOff>419100</xdr:colOff>
      <xdr:row>71</xdr:row>
      <xdr:rowOff>114300</xdr:rowOff>
    </xdr:to>
    <xdr:cxnSp macro="">
      <xdr:nvCxnSpPr>
        <xdr:cNvPr id="57" name="Straight Arrow Connector 56"/>
        <xdr:cNvCxnSpPr/>
      </xdr:nvCxnSpPr>
      <xdr:spPr>
        <a:xfrm>
          <a:off x="9544050" y="11801475"/>
          <a:ext cx="4257675" cy="0"/>
        </a:xfrm>
        <a:prstGeom prst="straightConnector1">
          <a:avLst/>
        </a:prstGeom>
        <a:ln>
          <a:solidFill>
            <a:srgbClr val="CC00CC"/>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495300</xdr:colOff>
      <xdr:row>53</xdr:row>
      <xdr:rowOff>19050</xdr:rowOff>
    </xdr:from>
    <xdr:to>
      <xdr:col>16</xdr:col>
      <xdr:colOff>495301</xdr:colOff>
      <xdr:row>71</xdr:row>
      <xdr:rowOff>0</xdr:rowOff>
    </xdr:to>
    <xdr:cxnSp macro="">
      <xdr:nvCxnSpPr>
        <xdr:cNvPr id="68" name="Straight Arrow Connector 67"/>
        <xdr:cNvCxnSpPr/>
      </xdr:nvCxnSpPr>
      <xdr:spPr>
        <a:xfrm>
          <a:off x="13877925" y="8791575"/>
          <a:ext cx="1" cy="2895600"/>
        </a:xfrm>
        <a:prstGeom prst="straightConnector1">
          <a:avLst/>
        </a:prstGeom>
        <a:ln>
          <a:solidFill>
            <a:srgbClr val="CC00CC"/>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xdr:colOff>
      <xdr:row>53</xdr:row>
      <xdr:rowOff>19051</xdr:rowOff>
    </xdr:from>
    <xdr:to>
      <xdr:col>11</xdr:col>
      <xdr:colOff>19050</xdr:colOff>
      <xdr:row>56</xdr:row>
      <xdr:rowOff>57150</xdr:rowOff>
    </xdr:to>
    <xdr:cxnSp macro="">
      <xdr:nvCxnSpPr>
        <xdr:cNvPr id="72" name="Straight Arrow Connector 71"/>
        <xdr:cNvCxnSpPr/>
      </xdr:nvCxnSpPr>
      <xdr:spPr>
        <a:xfrm flipV="1">
          <a:off x="10353675" y="8791576"/>
          <a:ext cx="0" cy="523874"/>
        </a:xfrm>
        <a:prstGeom prst="straightConnector1">
          <a:avLst/>
        </a:prstGeom>
        <a:ln>
          <a:solidFill>
            <a:sysClr val="windowText" lastClr="000000"/>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28575</xdr:colOff>
      <xdr:row>53</xdr:row>
      <xdr:rowOff>19050</xdr:rowOff>
    </xdr:from>
    <xdr:to>
      <xdr:col>13</xdr:col>
      <xdr:colOff>28575</xdr:colOff>
      <xdr:row>56</xdr:row>
      <xdr:rowOff>76201</xdr:rowOff>
    </xdr:to>
    <xdr:cxnSp macro="">
      <xdr:nvCxnSpPr>
        <xdr:cNvPr id="74" name="Straight Arrow Connector 73"/>
        <xdr:cNvCxnSpPr/>
      </xdr:nvCxnSpPr>
      <xdr:spPr>
        <a:xfrm flipV="1">
          <a:off x="11582400" y="8791575"/>
          <a:ext cx="0" cy="542926"/>
        </a:xfrm>
        <a:prstGeom prst="straightConnector1">
          <a:avLst/>
        </a:prstGeom>
        <a:ln>
          <a:solidFill>
            <a:sysClr val="windowText" lastClr="000000"/>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en.wikipedia.org/wiki/Ohm_(unit)" TargetMode="External"/><Relationship Id="rId13" Type="http://schemas.openxmlformats.org/officeDocument/2006/relationships/hyperlink" Target="http://en.wikipedia.org/wiki/Circular_mil" TargetMode="External"/><Relationship Id="rId3" Type="http://schemas.openxmlformats.org/officeDocument/2006/relationships/hyperlink" Target="http://en.wikipedia.org/wiki/Copper" TargetMode="External"/><Relationship Id="rId7" Type="http://schemas.openxmlformats.org/officeDocument/2006/relationships/hyperlink" Target="http://en.wikipedia.org/wiki/Circular_mil" TargetMode="External"/><Relationship Id="rId12" Type="http://schemas.openxmlformats.org/officeDocument/2006/relationships/hyperlink" Target="http://en.wikipedia.org/wiki/Ampacity"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hyperlink" Target="http://en.wikipedia.org/wiki/American_wire_gauge" TargetMode="External"/><Relationship Id="rId11" Type="http://schemas.openxmlformats.org/officeDocument/2006/relationships/hyperlink" Target="http://en.wikipedia.org/wiki/National_Electrical_Code" TargetMode="External"/><Relationship Id="rId5" Type="http://schemas.openxmlformats.org/officeDocument/2006/relationships/hyperlink" Target="http://en.wikipedia.org/wiki/Ampacity" TargetMode="External"/><Relationship Id="rId15" Type="http://schemas.openxmlformats.org/officeDocument/2006/relationships/printerSettings" Target="../printerSettings/printerSettings9.bin"/><Relationship Id="rId10" Type="http://schemas.openxmlformats.org/officeDocument/2006/relationships/hyperlink" Target="http://en.wikipedia.org/wiki/Electrical_resistance" TargetMode="External"/><Relationship Id="rId4" Type="http://schemas.openxmlformats.org/officeDocument/2006/relationships/hyperlink" Target="http://en.wikipedia.org/wiki/National_Electrical_Code" TargetMode="External"/><Relationship Id="rId9" Type="http://schemas.openxmlformats.org/officeDocument/2006/relationships/hyperlink" Target="http://en.wikipedia.org/wiki/Copper" TargetMode="External"/><Relationship Id="rId14" Type="http://schemas.openxmlformats.org/officeDocument/2006/relationships/hyperlink" Target="http://en.wikipedia.org/wiki/Ohm_(uni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9"/>
  <sheetViews>
    <sheetView workbookViewId="0">
      <selection activeCell="V3" sqref="V3"/>
    </sheetView>
  </sheetViews>
  <sheetFormatPr defaultRowHeight="14.25" x14ac:dyDescent="0.2"/>
  <cols>
    <col min="1" max="1" width="3.5703125" style="4" customWidth="1"/>
    <col min="2" max="16384" width="9.140625" style="4"/>
  </cols>
  <sheetData>
    <row r="1" spans="2:16" s="3" customFormat="1" ht="18.75" x14ac:dyDescent="0.3">
      <c r="B1" s="2" t="s">
        <v>0</v>
      </c>
    </row>
    <row r="2" spans="2:16" s="3" customFormat="1" ht="18.75" x14ac:dyDescent="0.3">
      <c r="B2" s="2"/>
    </row>
    <row r="3" spans="2:16" ht="392.25" customHeight="1" x14ac:dyDescent="0.2">
      <c r="B3" s="105" t="s">
        <v>2</v>
      </c>
      <c r="C3" s="106"/>
      <c r="D3" s="106"/>
      <c r="E3" s="106"/>
      <c r="F3" s="106"/>
      <c r="G3" s="106"/>
      <c r="H3" s="106"/>
      <c r="I3" s="106"/>
      <c r="J3" s="106"/>
      <c r="K3" s="106"/>
      <c r="L3" s="106"/>
      <c r="M3" s="106"/>
      <c r="N3" s="106"/>
      <c r="O3" s="106"/>
      <c r="P3" s="107"/>
    </row>
    <row r="7" spans="2:16" x14ac:dyDescent="0.2">
      <c r="B7" s="5"/>
    </row>
    <row r="11" spans="2:16" x14ac:dyDescent="0.2">
      <c r="B11" s="5"/>
    </row>
    <row r="19" spans="2:2" x14ac:dyDescent="0.2">
      <c r="B19" s="5"/>
    </row>
  </sheetData>
  <customSheetViews>
    <customSheetView guid="{4BC1E79B-7364-4615-87D5-9423F10F4E5B}">
      <selection activeCell="V3" sqref="V3"/>
      <pageMargins left="0.7" right="0.7" top="0.75" bottom="0.75" header="0.3" footer="0.3"/>
      <pageSetup paperSize="9" orientation="portrait" r:id="rId1"/>
    </customSheetView>
    <customSheetView guid="{E61536A5-1B37-499F-8E23-CE5FFEBBA059}">
      <selection activeCell="V3" sqref="V3"/>
      <pageMargins left="0.7" right="0.7" top="0.75" bottom="0.75" header="0.3" footer="0.3"/>
      <pageSetup paperSize="9" orientation="portrait" r:id="rId2"/>
    </customSheetView>
  </customSheetViews>
  <mergeCells count="1">
    <mergeCell ref="B3:P3"/>
  </mergeCell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6"/>
  <sheetViews>
    <sheetView tabSelected="1" topLeftCell="A58" zoomScaleNormal="100" workbookViewId="0">
      <selection activeCell="C20" sqref="C20"/>
    </sheetView>
  </sheetViews>
  <sheetFormatPr defaultRowHeight="12.75" x14ac:dyDescent="0.2"/>
  <cols>
    <col min="1" max="1" width="14.85546875" style="6" customWidth="1"/>
    <col min="2" max="2" width="23.5703125" style="6" customWidth="1"/>
    <col min="3" max="3" width="9.140625" style="6"/>
    <col min="4" max="4" width="16.140625" style="6" customWidth="1"/>
    <col min="5" max="5" width="10.85546875" style="6" customWidth="1"/>
    <col min="6" max="6" width="12.42578125" style="6" customWidth="1"/>
    <col min="7" max="7" width="31.42578125" style="6" customWidth="1"/>
    <col min="8" max="8" width="9.140625" style="6"/>
    <col min="9" max="9" width="9.140625" style="31"/>
    <col min="10" max="17" width="9.140625" style="6"/>
    <col min="18" max="18" width="9.140625" style="37"/>
    <col min="19" max="16384" width="9.140625" style="6"/>
  </cols>
  <sheetData>
    <row r="1" spans="1:18" s="8" customFormat="1" ht="15.75" x14ac:dyDescent="0.25">
      <c r="A1" s="108" t="s">
        <v>1</v>
      </c>
      <c r="B1" s="108"/>
      <c r="C1" s="108"/>
      <c r="D1" s="108"/>
      <c r="E1" s="108"/>
      <c r="F1" s="108"/>
      <c r="G1" s="108"/>
      <c r="I1" s="30"/>
      <c r="R1" s="36"/>
    </row>
    <row r="2" spans="1:18" s="8" customFormat="1" ht="15.75" x14ac:dyDescent="0.25">
      <c r="B2" s="1"/>
      <c r="I2" s="30"/>
      <c r="J2" s="1" t="s">
        <v>115</v>
      </c>
      <c r="R2" s="36"/>
    </row>
    <row r="3" spans="1:18" x14ac:dyDescent="0.2">
      <c r="C3" s="12" t="s">
        <v>8</v>
      </c>
      <c r="D3" s="7" t="s">
        <v>9</v>
      </c>
      <c r="E3" s="73"/>
      <c r="F3" s="15" t="s">
        <v>10</v>
      </c>
      <c r="G3" s="7" t="s">
        <v>11</v>
      </c>
    </row>
    <row r="4" spans="1:18" x14ac:dyDescent="0.2">
      <c r="B4" s="9" t="s">
        <v>3</v>
      </c>
      <c r="C4" s="9"/>
      <c r="E4" s="11" t="s">
        <v>48</v>
      </c>
      <c r="F4" s="17"/>
    </row>
    <row r="5" spans="1:18" x14ac:dyDescent="0.2">
      <c r="A5" s="110" t="s">
        <v>22</v>
      </c>
      <c r="B5" s="13" t="s">
        <v>4</v>
      </c>
      <c r="C5" s="21">
        <v>4000</v>
      </c>
      <c r="D5" s="13"/>
      <c r="E5" s="24"/>
      <c r="F5" s="18" t="s">
        <v>102</v>
      </c>
      <c r="G5" s="13" t="s">
        <v>72</v>
      </c>
    </row>
    <row r="6" spans="1:18" x14ac:dyDescent="0.2">
      <c r="A6" s="111"/>
      <c r="B6" s="14" t="s">
        <v>5</v>
      </c>
      <c r="C6" s="22">
        <v>40000</v>
      </c>
      <c r="D6" s="14"/>
      <c r="E6" s="25"/>
      <c r="F6" s="19" t="s">
        <v>102</v>
      </c>
      <c r="G6" s="14" t="s">
        <v>73</v>
      </c>
      <c r="J6" s="109" t="s">
        <v>113</v>
      </c>
      <c r="K6" s="6" t="s">
        <v>120</v>
      </c>
    </row>
    <row r="7" spans="1:18" x14ac:dyDescent="0.2">
      <c r="A7" s="111"/>
      <c r="B7" s="14" t="s">
        <v>6</v>
      </c>
      <c r="C7" s="22">
        <f>4*10^6</f>
        <v>4000000</v>
      </c>
      <c r="D7" s="14"/>
      <c r="E7" s="25"/>
      <c r="F7" s="19" t="s">
        <v>100</v>
      </c>
      <c r="G7" s="14" t="s">
        <v>74</v>
      </c>
      <c r="J7" s="109"/>
      <c r="K7" s="39">
        <f>Ac_3p</f>
        <v>5929</v>
      </c>
      <c r="L7" s="42" t="s">
        <v>108</v>
      </c>
    </row>
    <row r="8" spans="1:18" x14ac:dyDescent="0.2">
      <c r="A8" s="111"/>
      <c r="B8" s="14" t="s">
        <v>7</v>
      </c>
      <c r="C8" s="22">
        <v>1000</v>
      </c>
      <c r="D8" s="14"/>
      <c r="E8" s="25"/>
      <c r="F8" s="19" t="s">
        <v>71</v>
      </c>
      <c r="G8" s="14" t="s">
        <v>70</v>
      </c>
      <c r="P8" s="29" t="s">
        <v>112</v>
      </c>
      <c r="Q8" s="7">
        <f>a_3p</f>
        <v>108.89444430272832</v>
      </c>
      <c r="R8" s="37" t="s">
        <v>109</v>
      </c>
    </row>
    <row r="9" spans="1:18" x14ac:dyDescent="0.2">
      <c r="A9" s="111"/>
      <c r="B9" s="14" t="s">
        <v>431</v>
      </c>
      <c r="C9" s="22">
        <f>0.458*SQRT(4000)</f>
        <v>28.966463367142357</v>
      </c>
      <c r="D9" s="14"/>
      <c r="E9" s="25"/>
      <c r="F9" s="19"/>
      <c r="G9" s="14" t="s">
        <v>75</v>
      </c>
    </row>
    <row r="10" spans="1:18" x14ac:dyDescent="0.2">
      <c r="A10" s="111"/>
      <c r="B10" s="14" t="s">
        <v>16</v>
      </c>
      <c r="C10" s="22">
        <f>pi/2</f>
        <v>1.5707963267948966</v>
      </c>
      <c r="D10" s="14" t="s">
        <v>122</v>
      </c>
      <c r="E10" s="25"/>
      <c r="F10" s="19"/>
      <c r="G10" s="14" t="s">
        <v>76</v>
      </c>
    </row>
    <row r="11" spans="1:18" x14ac:dyDescent="0.2">
      <c r="A11" s="111"/>
      <c r="B11" s="14" t="s">
        <v>17</v>
      </c>
      <c r="C11" s="22">
        <v>0.63600000000000001</v>
      </c>
      <c r="D11" s="14"/>
      <c r="E11" s="25"/>
      <c r="F11" s="19" t="s">
        <v>118</v>
      </c>
      <c r="G11" s="14" t="s">
        <v>77</v>
      </c>
    </row>
    <row r="12" spans="1:18" x14ac:dyDescent="0.2">
      <c r="A12" s="111"/>
      <c r="B12" s="14" t="s">
        <v>18</v>
      </c>
      <c r="C12" s="22">
        <f>PI()</f>
        <v>3.1415926535897931</v>
      </c>
      <c r="D12" s="14"/>
      <c r="E12" s="25"/>
      <c r="F12" s="19"/>
      <c r="G12" s="14" t="s">
        <v>78</v>
      </c>
      <c r="Q12" s="28"/>
    </row>
    <row r="13" spans="1:18" x14ac:dyDescent="0.2">
      <c r="A13" s="112"/>
      <c r="B13" s="93" t="s">
        <v>12</v>
      </c>
      <c r="C13" s="94">
        <v>0.98</v>
      </c>
      <c r="D13" s="95" t="s">
        <v>361</v>
      </c>
      <c r="E13" s="96"/>
      <c r="F13" s="97"/>
      <c r="G13" s="95" t="s">
        <v>369</v>
      </c>
    </row>
    <row r="14" spans="1:18" ht="12.75" customHeight="1" x14ac:dyDescent="0.2">
      <c r="A14" s="110" t="s">
        <v>21</v>
      </c>
      <c r="B14" s="13" t="s">
        <v>14</v>
      </c>
      <c r="C14" s="21">
        <v>1.2</v>
      </c>
      <c r="D14" s="13"/>
      <c r="E14" s="24"/>
      <c r="F14" s="18" t="s">
        <v>104</v>
      </c>
      <c r="G14" s="13" t="s">
        <v>79</v>
      </c>
      <c r="J14" s="40"/>
      <c r="K14" s="113" t="s">
        <v>114</v>
      </c>
      <c r="L14" s="40"/>
      <c r="O14" s="7" t="s">
        <v>334</v>
      </c>
    </row>
    <row r="15" spans="1:18" ht="12.75" customHeight="1" x14ac:dyDescent="0.2">
      <c r="A15" s="111"/>
      <c r="B15" s="14" t="s">
        <v>13</v>
      </c>
      <c r="C15" s="22">
        <f>Vpn_3p/d</f>
        <v>87.699390575790773</v>
      </c>
      <c r="D15" s="14"/>
      <c r="E15" s="25"/>
      <c r="F15" s="19" t="s">
        <v>103</v>
      </c>
      <c r="G15" s="14" t="s">
        <v>80</v>
      </c>
      <c r="J15" s="40"/>
      <c r="K15" s="113"/>
      <c r="L15" s="40"/>
      <c r="O15" s="7">
        <f>w_a*O24</f>
        <v>242.18354272955</v>
      </c>
      <c r="P15" s="6" t="s">
        <v>109</v>
      </c>
    </row>
    <row r="16" spans="1:18" ht="15" customHeight="1" x14ac:dyDescent="0.2">
      <c r="A16" s="111"/>
      <c r="B16" s="14" t="s">
        <v>15</v>
      </c>
      <c r="C16" s="22">
        <f>N1_T/n</f>
        <v>876.99390575790767</v>
      </c>
      <c r="D16" s="14"/>
      <c r="E16" s="25"/>
      <c r="F16" s="19" t="s">
        <v>103</v>
      </c>
      <c r="G16" s="14" t="s">
        <v>81</v>
      </c>
      <c r="J16" s="27"/>
      <c r="K16" s="43">
        <f>Wa_3p</f>
        <v>58652.868369035765</v>
      </c>
      <c r="L16" s="41" t="s">
        <v>429</v>
      </c>
    </row>
    <row r="17" spans="1:18" ht="15" customHeight="1" x14ac:dyDescent="0.2">
      <c r="A17" s="111"/>
      <c r="B17" s="14" t="s">
        <v>362</v>
      </c>
      <c r="C17" s="35">
        <f>1/10</f>
        <v>0.1</v>
      </c>
      <c r="D17" s="14"/>
      <c r="E17" s="25"/>
      <c r="F17" s="19"/>
      <c r="G17" s="14"/>
      <c r="J17" s="32"/>
      <c r="K17" s="6" t="s">
        <v>121</v>
      </c>
      <c r="L17" s="27"/>
      <c r="Q17" s="64" t="s">
        <v>333</v>
      </c>
    </row>
    <row r="18" spans="1:18" x14ac:dyDescent="0.2">
      <c r="A18" s="111"/>
      <c r="B18" s="14" t="s">
        <v>19</v>
      </c>
      <c r="C18" s="22">
        <v>4</v>
      </c>
      <c r="D18" s="14" t="s">
        <v>116</v>
      </c>
      <c r="E18" s="25"/>
      <c r="F18" s="19"/>
      <c r="G18" s="14" t="s">
        <v>82</v>
      </c>
    </row>
    <row r="19" spans="1:18" x14ac:dyDescent="0.2">
      <c r="A19" s="111"/>
      <c r="B19" s="14" t="s">
        <v>20</v>
      </c>
      <c r="C19" s="22">
        <v>0.4</v>
      </c>
      <c r="D19" s="14"/>
      <c r="E19" s="25"/>
      <c r="F19" s="19"/>
      <c r="G19" s="14" t="s">
        <v>83</v>
      </c>
    </row>
    <row r="20" spans="1:18" x14ac:dyDescent="0.2">
      <c r="A20" s="111"/>
      <c r="B20" s="14" t="s">
        <v>38</v>
      </c>
      <c r="C20" s="22">
        <v>10</v>
      </c>
      <c r="D20" s="14" t="s">
        <v>349</v>
      </c>
      <c r="E20" s="25"/>
      <c r="F20" s="19" t="s">
        <v>106</v>
      </c>
      <c r="G20" s="14" t="s">
        <v>117</v>
      </c>
    </row>
    <row r="21" spans="1:18" x14ac:dyDescent="0.2">
      <c r="A21" s="74"/>
      <c r="B21" s="14" t="s">
        <v>31</v>
      </c>
      <c r="C21" s="9">
        <v>8</v>
      </c>
      <c r="D21" s="14"/>
      <c r="E21" s="25"/>
      <c r="F21" s="19"/>
      <c r="G21" s="14"/>
    </row>
    <row r="22" spans="1:18" x14ac:dyDescent="0.2">
      <c r="A22" s="80" t="s">
        <v>65</v>
      </c>
      <c r="B22" s="16"/>
      <c r="C22" s="23"/>
      <c r="D22" s="16"/>
      <c r="E22" s="26"/>
      <c r="F22" s="20"/>
      <c r="G22" s="16"/>
    </row>
    <row r="23" spans="1:18" x14ac:dyDescent="0.2">
      <c r="B23" s="6" t="s">
        <v>23</v>
      </c>
      <c r="C23" s="9" t="s">
        <v>380</v>
      </c>
      <c r="E23" s="10">
        <f>(1.1*SQRT(3)/3)*Vin_dc</f>
        <v>2540.3411844343532</v>
      </c>
      <c r="F23" s="17" t="s">
        <v>101</v>
      </c>
      <c r="G23" s="6" t="s">
        <v>84</v>
      </c>
    </row>
    <row r="24" spans="1:18" x14ac:dyDescent="0.2">
      <c r="B24" s="6" t="s">
        <v>24</v>
      </c>
      <c r="C24" s="9"/>
      <c r="E24" s="10">
        <f>Vpn_3p/n</f>
        <v>25403.411844343529</v>
      </c>
      <c r="F24" s="17" t="s">
        <v>101</v>
      </c>
      <c r="G24" s="6" t="s">
        <v>85</v>
      </c>
      <c r="K24" s="34" t="s">
        <v>336</v>
      </c>
      <c r="N24" s="29" t="s">
        <v>335</v>
      </c>
      <c r="O24" s="7">
        <f>SQRT(K16/w_a)</f>
        <v>242.18354272955</v>
      </c>
      <c r="P24" s="6" t="s">
        <v>109</v>
      </c>
      <c r="Q24" s="28"/>
    </row>
    <row r="25" spans="1:18" x14ac:dyDescent="0.2">
      <c r="B25" s="6" t="s">
        <v>25</v>
      </c>
      <c r="C25" s="9"/>
      <c r="E25" s="10">
        <f>ST_3p/(3*Vpn_3p)</f>
        <v>535.57538885865108</v>
      </c>
      <c r="F25" s="17" t="s">
        <v>105</v>
      </c>
      <c r="G25" s="6" t="s">
        <v>66</v>
      </c>
    </row>
    <row r="26" spans="1:18" x14ac:dyDescent="0.2">
      <c r="B26" s="6" t="s">
        <v>26</v>
      </c>
      <c r="C26" s="9"/>
      <c r="E26" s="10">
        <f>IpL_3p</f>
        <v>535.57538885865108</v>
      </c>
      <c r="F26" s="17" t="s">
        <v>105</v>
      </c>
      <c r="G26" s="6" t="s">
        <v>67</v>
      </c>
      <c r="J26" s="34" t="s">
        <v>119</v>
      </c>
      <c r="M26" s="34" t="s">
        <v>119</v>
      </c>
    </row>
    <row r="27" spans="1:18" x14ac:dyDescent="0.2">
      <c r="B27" s="6" t="s">
        <v>27</v>
      </c>
      <c r="C27" s="9"/>
      <c r="E27" s="10">
        <f>IpL_3p*n</f>
        <v>53.557538885865114</v>
      </c>
      <c r="F27" s="17" t="s">
        <v>105</v>
      </c>
      <c r="G27" s="6" t="s">
        <v>68</v>
      </c>
    </row>
    <row r="28" spans="1:18" x14ac:dyDescent="0.2">
      <c r="B28" s="6" t="s">
        <v>28</v>
      </c>
      <c r="C28" s="9"/>
      <c r="E28" s="10">
        <f>Ipp_3p*n</f>
        <v>53.557538885865114</v>
      </c>
      <c r="F28" s="17" t="s">
        <v>105</v>
      </c>
      <c r="G28" s="6" t="s">
        <v>69</v>
      </c>
      <c r="P28" s="33"/>
    </row>
    <row r="29" spans="1:18" ht="15" x14ac:dyDescent="0.35">
      <c r="B29" s="6" t="s">
        <v>29</v>
      </c>
      <c r="C29" s="9"/>
      <c r="E29" s="10">
        <f>Pin/eff</f>
        <v>4081632.6530612246</v>
      </c>
      <c r="F29" s="17" t="s">
        <v>100</v>
      </c>
      <c r="G29" s="6" t="s">
        <v>86</v>
      </c>
      <c r="M29" s="7" t="s">
        <v>100</v>
      </c>
      <c r="P29" s="29" t="s">
        <v>112</v>
      </c>
      <c r="Q29" s="7">
        <f>SQRT(K7/d_a)</f>
        <v>108.89444430272832</v>
      </c>
      <c r="R29" s="37" t="s">
        <v>109</v>
      </c>
    </row>
    <row r="30" spans="1:18" s="42" customFormat="1" x14ac:dyDescent="0.2">
      <c r="B30" s="81" t="s">
        <v>30</v>
      </c>
      <c r="C30" s="81"/>
      <c r="E30" s="82">
        <v>5929</v>
      </c>
      <c r="F30" s="83" t="s">
        <v>429</v>
      </c>
      <c r="G30" s="42" t="s">
        <v>37</v>
      </c>
      <c r="I30" s="84"/>
      <c r="K30" s="85" t="s">
        <v>111</v>
      </c>
      <c r="L30" s="86">
        <f>K7/a_3p</f>
        <v>54.447222151364159</v>
      </c>
      <c r="M30" s="42" t="s">
        <v>109</v>
      </c>
      <c r="R30" s="87"/>
    </row>
    <row r="31" spans="1:18" x14ac:dyDescent="0.2">
      <c r="A31" s="7" t="s">
        <v>45</v>
      </c>
      <c r="C31" s="9"/>
      <c r="E31" s="10"/>
      <c r="F31" s="17"/>
      <c r="K31" s="28"/>
    </row>
    <row r="32" spans="1:18" x14ac:dyDescent="0.2">
      <c r="B32" s="6" t="s">
        <v>31</v>
      </c>
      <c r="C32" s="9"/>
      <c r="E32" s="6">
        <f>Jp_3p</f>
        <v>8</v>
      </c>
      <c r="F32" s="17" t="s">
        <v>106</v>
      </c>
      <c r="G32" s="6" t="s">
        <v>87</v>
      </c>
    </row>
    <row r="33" spans="1:17" x14ac:dyDescent="0.2">
      <c r="B33" s="6" t="s">
        <v>32</v>
      </c>
      <c r="C33" s="9"/>
      <c r="E33" s="10">
        <f>Ipp_3p/Jp_3p</f>
        <v>66.946923607331385</v>
      </c>
      <c r="F33" s="17" t="s">
        <v>108</v>
      </c>
      <c r="G33" s="6" t="s">
        <v>88</v>
      </c>
      <c r="P33" s="117" t="s">
        <v>316</v>
      </c>
      <c r="Q33" s="117"/>
    </row>
    <row r="34" spans="1:17" x14ac:dyDescent="0.2">
      <c r="B34" s="6" t="s">
        <v>33</v>
      </c>
      <c r="C34" s="9"/>
      <c r="E34" s="10">
        <f>SQRT(Acp_3p/pi)*2</f>
        <v>9.2325224362152696</v>
      </c>
      <c r="F34" s="17" t="s">
        <v>109</v>
      </c>
      <c r="G34" s="6" t="s">
        <v>89</v>
      </c>
      <c r="P34" s="7" t="s">
        <v>317</v>
      </c>
      <c r="Q34" s="6">
        <v>0.5</v>
      </c>
    </row>
    <row r="35" spans="1:17" x14ac:dyDescent="0.2">
      <c r="B35" s="12" t="s">
        <v>34</v>
      </c>
      <c r="C35" s="9"/>
      <c r="E35" s="10">
        <v>-1</v>
      </c>
      <c r="F35" s="17" t="s">
        <v>107</v>
      </c>
      <c r="G35" s="6" t="s">
        <v>90</v>
      </c>
      <c r="P35" s="7" t="s">
        <v>432</v>
      </c>
      <c r="Q35" s="6">
        <v>1</v>
      </c>
    </row>
    <row r="36" spans="1:17" x14ac:dyDescent="0.2">
      <c r="B36" s="38" t="s">
        <v>301</v>
      </c>
      <c r="C36" s="9"/>
      <c r="D36" s="6">
        <f>LOOKUP(AWGp_3p,'AWG table'!S:S,'AWG table'!R:R)</f>
        <v>9.266</v>
      </c>
      <c r="E36" s="10">
        <f>PI()*D36^2/4</f>
        <v>67.433309273989636</v>
      </c>
      <c r="F36" s="17" t="s">
        <v>108</v>
      </c>
      <c r="G36" s="6" t="s">
        <v>304</v>
      </c>
      <c r="N36" s="6" t="s">
        <v>363</v>
      </c>
    </row>
    <row r="37" spans="1:17" x14ac:dyDescent="0.2">
      <c r="B37" s="6" t="s">
        <v>35</v>
      </c>
      <c r="C37" s="9"/>
      <c r="E37" s="10">
        <f>Ipp_3p/NEWAcp_3p</f>
        <v>7.9422972804514744</v>
      </c>
      <c r="F37" s="17" t="s">
        <v>106</v>
      </c>
      <c r="G37" s="6" t="s">
        <v>91</v>
      </c>
      <c r="N37" s="33" t="s">
        <v>338</v>
      </c>
      <c r="O37" s="6">
        <f>a_3p+a_3p+a_3p+w_3p+w_3p</f>
        <v>811.05041836728503</v>
      </c>
      <c r="P37" s="6" t="s">
        <v>109</v>
      </c>
    </row>
    <row r="38" spans="1:17" x14ac:dyDescent="0.2">
      <c r="B38" s="6" t="s">
        <v>36</v>
      </c>
      <c r="C38" s="9"/>
      <c r="E38" s="10">
        <f>N1_T*NEWAcp_3p</f>
        <v>5913.8601278377109</v>
      </c>
      <c r="F38" s="17" t="s">
        <v>108</v>
      </c>
      <c r="G38" s="6" t="s">
        <v>92</v>
      </c>
      <c r="N38" s="33" t="s">
        <v>339</v>
      </c>
      <c r="O38" s="6">
        <f>h_3p+a_3p+a_3p</f>
        <v>459.9724313350066</v>
      </c>
      <c r="P38" s="6" t="s">
        <v>109</v>
      </c>
    </row>
    <row r="39" spans="1:17" x14ac:dyDescent="0.2">
      <c r="A39" s="7" t="s">
        <v>46</v>
      </c>
      <c r="C39" s="9"/>
      <c r="E39" s="10"/>
      <c r="F39" s="17"/>
      <c r="N39" s="33" t="s">
        <v>340</v>
      </c>
      <c r="O39" s="6">
        <f>d_3p</f>
        <v>54.447222151364159</v>
      </c>
      <c r="P39" s="6" t="s">
        <v>109</v>
      </c>
    </row>
    <row r="40" spans="1:17" x14ac:dyDescent="0.2">
      <c r="B40" s="6" t="s">
        <v>38</v>
      </c>
      <c r="C40" s="9"/>
      <c r="E40" s="10">
        <f>Js</f>
        <v>10</v>
      </c>
      <c r="F40" s="17" t="s">
        <v>106</v>
      </c>
      <c r="G40" s="6" t="s">
        <v>337</v>
      </c>
      <c r="I40" s="65" t="s">
        <v>333</v>
      </c>
    </row>
    <row r="41" spans="1:17" x14ac:dyDescent="0.2">
      <c r="B41" s="6" t="s">
        <v>39</v>
      </c>
      <c r="C41" s="9"/>
      <c r="E41" s="10">
        <f>Isp_3p/Js_3p</f>
        <v>5.355753888586511</v>
      </c>
      <c r="F41" s="17" t="s">
        <v>108</v>
      </c>
      <c r="G41" s="6" t="s">
        <v>312</v>
      </c>
    </row>
    <row r="42" spans="1:17" x14ac:dyDescent="0.2">
      <c r="B42" s="6" t="s">
        <v>40</v>
      </c>
      <c r="C42" s="9"/>
      <c r="E42" s="10">
        <f>SQRT(Acs_3p/pi)*2</f>
        <v>2.6113516888419044</v>
      </c>
      <c r="F42" s="17" t="s">
        <v>109</v>
      </c>
      <c r="G42" s="6" t="s">
        <v>313</v>
      </c>
      <c r="M42" s="6" t="s">
        <v>332</v>
      </c>
    </row>
    <row r="43" spans="1:17" x14ac:dyDescent="0.2">
      <c r="B43" s="12" t="s">
        <v>41</v>
      </c>
      <c r="C43" s="9"/>
      <c r="E43" s="10">
        <v>9</v>
      </c>
      <c r="F43" s="17" t="s">
        <v>107</v>
      </c>
      <c r="G43" s="6" t="s">
        <v>93</v>
      </c>
    </row>
    <row r="44" spans="1:17" x14ac:dyDescent="0.2">
      <c r="B44" s="38" t="s">
        <v>302</v>
      </c>
      <c r="C44" s="9"/>
      <c r="D44" s="6">
        <f>LOOKUP(AWGs_3p,'AWG table'!S:S,'AWG table'!R:R)</f>
        <v>2.9060000000000001</v>
      </c>
      <c r="E44" s="10">
        <f>PI()*D44^2/4</f>
        <v>6.6325586845926541</v>
      </c>
      <c r="F44" s="17" t="s">
        <v>108</v>
      </c>
      <c r="G44" s="6" t="s">
        <v>303</v>
      </c>
    </row>
    <row r="45" spans="1:17" x14ac:dyDescent="0.2">
      <c r="B45" s="6" t="s">
        <v>42</v>
      </c>
      <c r="C45" s="9"/>
      <c r="E45" s="10">
        <f>Isp_3p/NEWAcs_3p</f>
        <v>8.0749438388353152</v>
      </c>
      <c r="F45" s="17" t="s">
        <v>106</v>
      </c>
      <c r="G45" s="6" t="s">
        <v>91</v>
      </c>
    </row>
    <row r="46" spans="1:17" x14ac:dyDescent="0.2">
      <c r="B46" s="6" t="s">
        <v>43</v>
      </c>
      <c r="C46" s="9"/>
      <c r="E46" s="10">
        <f>N2_T*NEWAcs_3p</f>
        <v>5816.7135459694418</v>
      </c>
      <c r="F46" s="17" t="s">
        <v>108</v>
      </c>
      <c r="G46" s="6" t="s">
        <v>94</v>
      </c>
      <c r="M46" s="6" t="s">
        <v>331</v>
      </c>
    </row>
    <row r="47" spans="1:17" x14ac:dyDescent="0.2">
      <c r="B47" s="6" t="s">
        <v>44</v>
      </c>
      <c r="C47" s="9"/>
      <c r="E47" s="10">
        <f>Acup_3p+Acus_3p</f>
        <v>11730.573673807154</v>
      </c>
      <c r="F47" s="17" t="s">
        <v>108</v>
      </c>
      <c r="G47" s="6" t="s">
        <v>95</v>
      </c>
    </row>
    <row r="48" spans="1:17" x14ac:dyDescent="0.2">
      <c r="A48" s="7" t="s">
        <v>344</v>
      </c>
      <c r="C48" s="9"/>
      <c r="E48" s="10">
        <f>SQRT(1.678*10^-8/(pi*f*4*pi*10^-7*0.999991))*1000</f>
        <v>2.0616648388991945</v>
      </c>
      <c r="F48" s="17" t="s">
        <v>109</v>
      </c>
      <c r="G48" s="6" t="s">
        <v>345</v>
      </c>
    </row>
    <row r="49" spans="1:18" s="42" customFormat="1" x14ac:dyDescent="0.2">
      <c r="A49" s="86"/>
      <c r="B49" s="42" t="s">
        <v>353</v>
      </c>
      <c r="C49" s="81">
        <f>D36</f>
        <v>9.266</v>
      </c>
      <c r="D49" s="42" t="s">
        <v>379</v>
      </c>
      <c r="E49" s="82">
        <v>3.2639999999999998</v>
      </c>
      <c r="F49" s="83" t="s">
        <v>109</v>
      </c>
      <c r="G49" s="42" t="s">
        <v>350</v>
      </c>
      <c r="I49" s="84"/>
      <c r="R49" s="87"/>
    </row>
    <row r="50" spans="1:18" s="42" customFormat="1" x14ac:dyDescent="0.2">
      <c r="A50" s="86"/>
      <c r="B50" s="42" t="s">
        <v>354</v>
      </c>
      <c r="C50" s="81">
        <f>D44</f>
        <v>2.9060000000000001</v>
      </c>
      <c r="E50" s="82"/>
      <c r="F50" s="83" t="s">
        <v>109</v>
      </c>
      <c r="G50" s="42" t="s">
        <v>351</v>
      </c>
      <c r="I50" s="84"/>
      <c r="R50" s="87"/>
    </row>
    <row r="51" spans="1:18" x14ac:dyDescent="0.2">
      <c r="A51" s="7" t="s">
        <v>47</v>
      </c>
      <c r="C51" s="9"/>
      <c r="E51" s="10"/>
      <c r="F51" s="17"/>
    </row>
    <row r="52" spans="1:18" ht="15" x14ac:dyDescent="0.25">
      <c r="B52" s="9" t="s">
        <v>49</v>
      </c>
      <c r="C52" s="9"/>
      <c r="E52" s="10">
        <f>2*(Total_Acu_3p/ku)</f>
        <v>58652.868369035765</v>
      </c>
      <c r="F52" s="17" t="s">
        <v>429</v>
      </c>
      <c r="G52" s="6" t="s">
        <v>305</v>
      </c>
      <c r="J52" s="88" t="s">
        <v>403</v>
      </c>
    </row>
    <row r="53" spans="1:18" x14ac:dyDescent="0.2">
      <c r="A53" s="7" t="s">
        <v>343</v>
      </c>
      <c r="B53" s="9"/>
      <c r="C53" s="9"/>
      <c r="E53" s="10"/>
      <c r="F53" s="17"/>
    </row>
    <row r="54" spans="1:18" x14ac:dyDescent="0.2">
      <c r="B54" s="6" t="s">
        <v>341</v>
      </c>
      <c r="C54" s="9"/>
      <c r="E54" s="10">
        <f>(K7*(3*h_3p+4*w_3p)+6*(a_3p*a_3p*d_3p))*10^-9</f>
        <v>1.392515453552977E-2</v>
      </c>
      <c r="F54" s="17" t="s">
        <v>433</v>
      </c>
      <c r="G54" s="6" t="s">
        <v>342</v>
      </c>
    </row>
    <row r="55" spans="1:18" x14ac:dyDescent="0.2">
      <c r="A55" s="7" t="s">
        <v>352</v>
      </c>
      <c r="C55" s="9"/>
      <c r="E55" s="10"/>
      <c r="F55" s="17"/>
      <c r="K55" s="33" t="s">
        <v>425</v>
      </c>
      <c r="L55" s="6">
        <f>K65</f>
        <v>2.3815698604072058</v>
      </c>
      <c r="M55" s="6" t="s">
        <v>109</v>
      </c>
      <c r="N55" s="6">
        <f>K65/n</f>
        <v>23.815698604072058</v>
      </c>
      <c r="O55" s="6" t="s">
        <v>109</v>
      </c>
    </row>
    <row r="56" spans="1:18" x14ac:dyDescent="0.2">
      <c r="B56" s="6" t="s">
        <v>355</v>
      </c>
      <c r="C56" s="9"/>
      <c r="E56" s="10">
        <f>3*((d_pri_3p)^2*0.006676*1.0517*TLwp_3p)*0.001</f>
        <v>112.11808403184638</v>
      </c>
      <c r="F56" s="17" t="s">
        <v>329</v>
      </c>
      <c r="G56" s="6" t="s">
        <v>357</v>
      </c>
      <c r="K56" s="33" t="s">
        <v>424</v>
      </c>
      <c r="L56" s="6">
        <f>K67</f>
        <v>2.3815698604072058</v>
      </c>
      <c r="M56" s="6" t="s">
        <v>109</v>
      </c>
      <c r="N56" s="6">
        <f>K67/n</f>
        <v>23.815698604072058</v>
      </c>
      <c r="O56" s="6" t="s">
        <v>109</v>
      </c>
    </row>
    <row r="57" spans="1:18" x14ac:dyDescent="0.2">
      <c r="B57" s="6" t="s">
        <v>356</v>
      </c>
      <c r="C57" s="9"/>
      <c r="E57" s="10">
        <f>3*(d_sec_3p*d_sec_3p*TLws_3p*0.006676*1.0517)*0.001</f>
        <v>169.59091775799055</v>
      </c>
      <c r="F57" s="17" t="s">
        <v>329</v>
      </c>
      <c r="G57" s="6" t="s">
        <v>358</v>
      </c>
    </row>
    <row r="58" spans="1:18" x14ac:dyDescent="0.2">
      <c r="A58" s="7" t="s">
        <v>385</v>
      </c>
      <c r="C58" s="9"/>
      <c r="E58" s="10"/>
      <c r="F58" s="17"/>
    </row>
    <row r="59" spans="1:18" x14ac:dyDescent="0.2">
      <c r="B59" s="6" t="s">
        <v>397</v>
      </c>
      <c r="C59" s="98">
        <v>1.6</v>
      </c>
      <c r="E59" s="10"/>
      <c r="F59" s="17" t="s">
        <v>386</v>
      </c>
    </row>
    <row r="60" spans="1:18" x14ac:dyDescent="0.2">
      <c r="B60" s="6" t="s">
        <v>398</v>
      </c>
      <c r="C60" s="98">
        <v>1.6</v>
      </c>
      <c r="D60" s="6" t="s">
        <v>389</v>
      </c>
      <c r="E60" s="10"/>
      <c r="F60" s="17" t="s">
        <v>386</v>
      </c>
      <c r="G60" s="6" t="s">
        <v>387</v>
      </c>
    </row>
    <row r="61" spans="1:18" x14ac:dyDescent="0.2">
      <c r="B61" s="6" t="s">
        <v>390</v>
      </c>
      <c r="C61" s="9">
        <v>1.5</v>
      </c>
      <c r="E61" s="10"/>
      <c r="F61" s="17"/>
      <c r="R61" s="100" t="s">
        <v>339</v>
      </c>
    </row>
    <row r="62" spans="1:18" x14ac:dyDescent="0.2">
      <c r="B62" s="6" t="s">
        <v>391</v>
      </c>
      <c r="C62" s="9">
        <v>1.5</v>
      </c>
      <c r="E62" s="10"/>
      <c r="F62" s="17"/>
      <c r="R62" s="37">
        <f>h_3p</f>
        <v>242.18354272955</v>
      </c>
    </row>
    <row r="63" spans="1:18" x14ac:dyDescent="0.2">
      <c r="A63" s="99" t="s">
        <v>392</v>
      </c>
      <c r="C63" s="9"/>
      <c r="E63" s="10"/>
      <c r="F63" s="17"/>
      <c r="R63" s="37" t="s">
        <v>109</v>
      </c>
    </row>
    <row r="64" spans="1:18" x14ac:dyDescent="0.2">
      <c r="B64" s="6" t="s">
        <v>388</v>
      </c>
      <c r="C64" s="9"/>
      <c r="E64" s="10">
        <f>C61*(Vpn_3p/(C59*1000))</f>
        <v>2.3815698604072058</v>
      </c>
      <c r="F64" s="17" t="s">
        <v>109</v>
      </c>
      <c r="G64" s="6" t="s">
        <v>399</v>
      </c>
      <c r="K64" s="6" t="s">
        <v>406</v>
      </c>
      <c r="M64" s="6" t="s">
        <v>405</v>
      </c>
    </row>
    <row r="65" spans="1:17" x14ac:dyDescent="0.2">
      <c r="B65" s="42" t="s">
        <v>393</v>
      </c>
      <c r="C65" s="81"/>
      <c r="D65" s="42"/>
      <c r="E65" s="82">
        <f>C61*((Vpn_3p+E24)/(C59*1000))</f>
        <v>26.197268464479265</v>
      </c>
      <c r="F65" s="83" t="s">
        <v>109</v>
      </c>
      <c r="G65" s="6" t="s">
        <v>400</v>
      </c>
      <c r="K65" s="6">
        <f>E64</f>
        <v>2.3815698604072058</v>
      </c>
      <c r="M65" s="6">
        <f>E65</f>
        <v>26.197268464479265</v>
      </c>
    </row>
    <row r="66" spans="1:17" x14ac:dyDescent="0.2">
      <c r="B66" s="6" t="s">
        <v>394</v>
      </c>
      <c r="C66" s="9"/>
      <c r="E66" s="10">
        <f>C62*((Vpn_3p/N1_T)/(C59*1000))</f>
        <v>2.7156059406695961E-2</v>
      </c>
      <c r="F66" s="17" t="s">
        <v>109</v>
      </c>
      <c r="G66" s="6" t="s">
        <v>401</v>
      </c>
      <c r="K66" s="6" t="s">
        <v>407</v>
      </c>
      <c r="M66" s="6" t="s">
        <v>404</v>
      </c>
    </row>
    <row r="67" spans="1:17" x14ac:dyDescent="0.2">
      <c r="B67" s="6" t="s">
        <v>395</v>
      </c>
      <c r="C67" s="9"/>
      <c r="E67" s="10">
        <f>C62*((E24/N2_T)/(C59*1000))</f>
        <v>2.7156059406695961E-2</v>
      </c>
      <c r="F67" s="17" t="s">
        <v>109</v>
      </c>
      <c r="G67" s="6" t="s">
        <v>402</v>
      </c>
      <c r="K67" s="6">
        <f>E69</f>
        <v>2.3815698604072058</v>
      </c>
      <c r="M67" s="6">
        <f>E70</f>
        <v>26.197268464479265</v>
      </c>
    </row>
    <row r="68" spans="1:17" x14ac:dyDescent="0.2">
      <c r="A68" s="99" t="s">
        <v>396</v>
      </c>
      <c r="C68" s="9"/>
      <c r="E68" s="10"/>
      <c r="F68" s="17"/>
      <c r="K68" s="33" t="s">
        <v>109</v>
      </c>
      <c r="M68" s="33" t="s">
        <v>109</v>
      </c>
    </row>
    <row r="69" spans="1:17" x14ac:dyDescent="0.2">
      <c r="B69" s="6" t="s">
        <v>388</v>
      </c>
      <c r="C69" s="9"/>
      <c r="E69" s="10">
        <f>C61*(Vpn_3p/(C60*1000))</f>
        <v>2.3815698604072058</v>
      </c>
      <c r="F69" s="17" t="s">
        <v>109</v>
      </c>
      <c r="G69" s="6" t="s">
        <v>399</v>
      </c>
    </row>
    <row r="70" spans="1:17" x14ac:dyDescent="0.2">
      <c r="B70" s="6" t="s">
        <v>393</v>
      </c>
      <c r="C70" s="9"/>
      <c r="E70" s="10">
        <f>C61*((Vpn_3p+E24)/(C60*1000))</f>
        <v>26.197268464479265</v>
      </c>
      <c r="F70" s="17" t="s">
        <v>109</v>
      </c>
      <c r="G70" s="6" t="s">
        <v>400</v>
      </c>
      <c r="K70" s="33" t="s">
        <v>405</v>
      </c>
      <c r="L70" s="6">
        <f>E66</f>
        <v>2.7156059406695961E-2</v>
      </c>
      <c r="M70" s="6" t="s">
        <v>109</v>
      </c>
      <c r="N70" s="33" t="s">
        <v>405</v>
      </c>
      <c r="O70" s="6">
        <f>E67</f>
        <v>2.7156059406695961E-2</v>
      </c>
      <c r="P70" s="6" t="s">
        <v>109</v>
      </c>
    </row>
    <row r="71" spans="1:17" x14ac:dyDescent="0.2">
      <c r="B71" s="6" t="s">
        <v>394</v>
      </c>
      <c r="C71" s="9"/>
      <c r="E71" s="10">
        <f>C62*((Vpn_3p/N1_T)/(C60*1000))</f>
        <v>2.7156059406695961E-2</v>
      </c>
      <c r="F71" s="17" t="s">
        <v>109</v>
      </c>
      <c r="G71" s="6" t="s">
        <v>401</v>
      </c>
      <c r="K71" s="33" t="s">
        <v>404</v>
      </c>
      <c r="L71" s="6">
        <f>E71</f>
        <v>2.7156059406695961E-2</v>
      </c>
      <c r="M71" s="6" t="s">
        <v>109</v>
      </c>
      <c r="N71" s="33" t="s">
        <v>408</v>
      </c>
      <c r="O71" s="6">
        <f>E72</f>
        <v>2.7156059406695961E-2</v>
      </c>
      <c r="P71" s="6" t="s">
        <v>109</v>
      </c>
    </row>
    <row r="72" spans="1:17" x14ac:dyDescent="0.2">
      <c r="B72" s="6" t="s">
        <v>395</v>
      </c>
      <c r="C72" s="9"/>
      <c r="E72" s="10">
        <f>C62*((E24/N2_T)/(C60*1000))</f>
        <v>2.7156059406695961E-2</v>
      </c>
      <c r="F72" s="17" t="s">
        <v>109</v>
      </c>
      <c r="G72" s="6" t="s">
        <v>402</v>
      </c>
    </row>
    <row r="73" spans="1:17" x14ac:dyDescent="0.2">
      <c r="A73" s="7" t="s">
        <v>50</v>
      </c>
      <c r="C73" s="9"/>
      <c r="E73" s="10"/>
      <c r="F73" s="17"/>
      <c r="M73" s="33" t="s">
        <v>414</v>
      </c>
      <c r="N73" s="6">
        <f>w_3p</f>
        <v>242.18354272955</v>
      </c>
      <c r="O73" s="6" t="s">
        <v>109</v>
      </c>
    </row>
    <row r="74" spans="1:17" x14ac:dyDescent="0.2">
      <c r="A74" s="7"/>
      <c r="B74" s="6" t="s">
        <v>306</v>
      </c>
      <c r="C74" s="9"/>
      <c r="E74" s="10">
        <f>2*a_3p+2*d_3p+3.14*w_3p*0.5</f>
        <v>706.91149499357857</v>
      </c>
      <c r="F74" s="17" t="s">
        <v>109</v>
      </c>
      <c r="G74" s="6" t="s">
        <v>310</v>
      </c>
      <c r="J74" s="7" t="s">
        <v>421</v>
      </c>
    </row>
    <row r="75" spans="1:17" x14ac:dyDescent="0.2">
      <c r="A75" s="7"/>
      <c r="B75" s="6" t="s">
        <v>307</v>
      </c>
      <c r="C75" s="9"/>
      <c r="E75" s="10">
        <f>2*a_3p+2*d_3p+3.14*w_3p</f>
        <v>1087.139657078972</v>
      </c>
      <c r="F75" s="17" t="s">
        <v>109</v>
      </c>
      <c r="G75" s="6" t="s">
        <v>311</v>
      </c>
      <c r="J75" s="114" t="s">
        <v>423</v>
      </c>
      <c r="K75" s="101"/>
      <c r="L75" s="103" t="s">
        <v>419</v>
      </c>
      <c r="M75" s="103" t="s">
        <v>420</v>
      </c>
      <c r="N75" s="114" t="s">
        <v>422</v>
      </c>
      <c r="O75" s="101"/>
      <c r="P75" s="103" t="s">
        <v>419</v>
      </c>
      <c r="Q75" s="103" t="s">
        <v>420</v>
      </c>
    </row>
    <row r="76" spans="1:17" x14ac:dyDescent="0.2">
      <c r="A76" s="7"/>
      <c r="B76" s="6" t="s">
        <v>308</v>
      </c>
      <c r="C76" s="9"/>
      <c r="E76" s="10">
        <f>N1_T*MLTp_3p</f>
        <v>61995.707301958013</v>
      </c>
      <c r="F76" s="17" t="s">
        <v>109</v>
      </c>
      <c r="G76" s="6" t="s">
        <v>314</v>
      </c>
      <c r="J76" s="114"/>
      <c r="K76" s="102" t="s">
        <v>415</v>
      </c>
      <c r="L76" s="101">
        <f>(Acup_3p/M76)+L71*N1_T</f>
        <v>27.290381625923914</v>
      </c>
      <c r="M76" s="101">
        <f>R62-(2*L56)</f>
        <v>237.42040300873558</v>
      </c>
      <c r="N76" s="114"/>
      <c r="O76" s="102" t="s">
        <v>415</v>
      </c>
      <c r="P76" s="101">
        <f>Acup_3p/Q76+L70*N1_T</f>
        <v>27.290381625923914</v>
      </c>
      <c r="Q76" s="101">
        <f>R62-2*L55</f>
        <v>237.42040300873558</v>
      </c>
    </row>
    <row r="77" spans="1:17" x14ac:dyDescent="0.2">
      <c r="A77" s="7"/>
      <c r="B77" s="6" t="s">
        <v>309</v>
      </c>
      <c r="C77" s="9"/>
      <c r="E77" s="10">
        <f>N2_T*MLTs_3p</f>
        <v>953414.85396600002</v>
      </c>
      <c r="F77" s="17" t="s">
        <v>109</v>
      </c>
      <c r="G77" s="6" t="s">
        <v>315</v>
      </c>
      <c r="J77" s="114"/>
      <c r="K77" s="102" t="s">
        <v>418</v>
      </c>
      <c r="L77" s="101">
        <f>Acus_3p/M77+O71*N2_T</f>
        <v>53.713665189742272</v>
      </c>
      <c r="M77" s="101">
        <f>R62-(2*N56)</f>
        <v>194.55214552140589</v>
      </c>
      <c r="N77" s="114"/>
      <c r="O77" s="102" t="s">
        <v>418</v>
      </c>
      <c r="P77" s="101">
        <f>Acus_3p/Q77+O70*N2_T</f>
        <v>53.713665189742272</v>
      </c>
      <c r="Q77" s="101">
        <f>R62-2*N55</f>
        <v>194.55214552140589</v>
      </c>
    </row>
    <row r="78" spans="1:17" x14ac:dyDescent="0.2">
      <c r="A78" s="7"/>
      <c r="B78" s="6" t="s">
        <v>364</v>
      </c>
      <c r="C78" s="9"/>
      <c r="E78" s="10">
        <f>LOOKUP(AWGp_3p,'AWG table'!S:S,'AWG table'!U:U)</f>
        <v>0.25569999999999998</v>
      </c>
      <c r="F78" s="17" t="s">
        <v>366</v>
      </c>
      <c r="G78" s="6" t="s">
        <v>367</v>
      </c>
      <c r="J78" s="33"/>
    </row>
    <row r="79" spans="1:17" x14ac:dyDescent="0.2">
      <c r="A79" s="7"/>
      <c r="B79" s="6" t="s">
        <v>365</v>
      </c>
      <c r="C79" s="9"/>
      <c r="E79" s="10">
        <f>LOOKUP(AWGs_3p,'AWG table'!S:S,'AWG table'!U:U)</f>
        <v>2.5990000000000002</v>
      </c>
      <c r="F79" s="17" t="s">
        <v>366</v>
      </c>
      <c r="G79" s="6" t="s">
        <v>368</v>
      </c>
      <c r="J79" s="104" t="s">
        <v>426</v>
      </c>
    </row>
    <row r="80" spans="1:17" x14ac:dyDescent="0.2">
      <c r="B80" s="6" t="s">
        <v>381</v>
      </c>
      <c r="C80" s="9"/>
      <c r="E80" s="10">
        <f>Rcu_p*0.000001*(TLwp_3p/d_pri_3p)</f>
        <v>1.710803189845744E-3</v>
      </c>
      <c r="F80" s="17" t="s">
        <v>110</v>
      </c>
      <c r="G80" s="6" t="s">
        <v>409</v>
      </c>
      <c r="J80" s="6" t="s">
        <v>427</v>
      </c>
      <c r="K80" s="6" t="s">
        <v>428</v>
      </c>
      <c r="L80" s="12">
        <f>2*(K67+L76+M67+L77)</f>
        <v>219.16577028110532</v>
      </c>
      <c r="M80" s="6" t="s">
        <v>109</v>
      </c>
      <c r="N80" s="115">
        <f>N73</f>
        <v>242.18354272955</v>
      </c>
      <c r="O80" s="116" t="s">
        <v>109</v>
      </c>
      <c r="P80" s="6" t="str">
        <f>IF(L80&lt;N80,"ok","no")</f>
        <v>ok</v>
      </c>
    </row>
    <row r="81" spans="1:18" x14ac:dyDescent="0.2">
      <c r="B81" s="6" t="s">
        <v>382</v>
      </c>
      <c r="C81" s="9"/>
      <c r="E81" s="10">
        <f>Rcu_s*0.000001*(TLws_3p/d_sec_3p)</f>
        <v>0.85269277544997735</v>
      </c>
      <c r="F81" s="17" t="s">
        <v>110</v>
      </c>
      <c r="G81" s="6" t="s">
        <v>410</v>
      </c>
      <c r="J81" s="6" t="s">
        <v>422</v>
      </c>
      <c r="K81" s="6" t="s">
        <v>428</v>
      </c>
      <c r="L81" s="12">
        <f>2*(K65+P76+M65+P77)</f>
        <v>219.16577028110532</v>
      </c>
      <c r="M81" s="6" t="s">
        <v>109</v>
      </c>
      <c r="N81" s="115"/>
      <c r="O81" s="116"/>
      <c r="P81" s="6" t="str">
        <f>IF(L81&lt;N80,"ok","no")</f>
        <v>ok</v>
      </c>
    </row>
    <row r="82" spans="1:18" x14ac:dyDescent="0.2">
      <c r="B82" s="6" t="s">
        <v>383</v>
      </c>
      <c r="C82" s="9"/>
      <c r="D82" s="6" t="s">
        <v>413</v>
      </c>
      <c r="E82" s="10">
        <f>1.2*Rp_3p</f>
        <v>2.0529638278148927E-3</v>
      </c>
      <c r="F82" s="17" t="s">
        <v>110</v>
      </c>
      <c r="G82" s="6" t="s">
        <v>411</v>
      </c>
    </row>
    <row r="83" spans="1:18" x14ac:dyDescent="0.2">
      <c r="B83" s="6" t="s">
        <v>384</v>
      </c>
      <c r="C83" s="9"/>
      <c r="E83" s="10">
        <f>1.2*Rs_3p</f>
        <v>1.0232313305399727</v>
      </c>
      <c r="F83" s="17" t="s">
        <v>110</v>
      </c>
      <c r="G83" s="6" t="s">
        <v>412</v>
      </c>
    </row>
    <row r="84" spans="1:18" x14ac:dyDescent="0.2">
      <c r="B84" s="6" t="s">
        <v>51</v>
      </c>
      <c r="C84" s="9"/>
      <c r="D84" s="6" t="s">
        <v>416</v>
      </c>
      <c r="E84" s="10">
        <f>3*Rp_ac*Ipp_3p^2</f>
        <v>1766.62257445666</v>
      </c>
      <c r="F84" s="17" t="s">
        <v>100</v>
      </c>
      <c r="G84" s="6" t="s">
        <v>54</v>
      </c>
    </row>
    <row r="85" spans="1:18" x14ac:dyDescent="0.2">
      <c r="B85" s="6" t="s">
        <v>52</v>
      </c>
      <c r="C85" s="9"/>
      <c r="D85" s="6" t="s">
        <v>417</v>
      </c>
      <c r="E85" s="10">
        <f>3*Rs_ac*Isp_3p^2</f>
        <v>8805.1408550498345</v>
      </c>
      <c r="F85" s="17" t="s">
        <v>100</v>
      </c>
      <c r="G85" s="6" t="s">
        <v>55</v>
      </c>
    </row>
    <row r="86" spans="1:18" x14ac:dyDescent="0.2">
      <c r="B86" s="9" t="s">
        <v>53</v>
      </c>
      <c r="C86" s="9"/>
      <c r="E86" s="10">
        <f>Pcu_p_3p+Pcu_s_3p</f>
        <v>10571.763429506495</v>
      </c>
      <c r="F86" s="17" t="s">
        <v>100</v>
      </c>
      <c r="G86" s="6" t="s">
        <v>56</v>
      </c>
    </row>
    <row r="87" spans="1:18" s="7" customFormat="1" x14ac:dyDescent="0.2">
      <c r="A87" s="7" t="s">
        <v>375</v>
      </c>
      <c r="B87" s="12"/>
      <c r="C87" s="12"/>
      <c r="E87" s="11"/>
      <c r="F87" s="15"/>
      <c r="I87" s="91"/>
      <c r="R87" s="92"/>
    </row>
    <row r="88" spans="1:18" x14ac:dyDescent="0.2">
      <c r="B88" s="38" t="s">
        <v>376</v>
      </c>
      <c r="C88" s="9">
        <f>LOOKUP(f,'Steinmetz factor'!B:B,'Steinmetz factor'!C:C)</f>
        <v>7.31</v>
      </c>
      <c r="E88" s="10"/>
      <c r="F88" s="17"/>
      <c r="G88" s="6" t="s">
        <v>377</v>
      </c>
    </row>
    <row r="89" spans="1:18" x14ac:dyDescent="0.2">
      <c r="B89" s="38" t="s">
        <v>373</v>
      </c>
      <c r="C89" s="9">
        <f ca="1">LOOKUP(f,'Steinmetz factor'!B:B,'Steinmetz factor'!D4:D12)</f>
        <v>0</v>
      </c>
      <c r="E89" s="10"/>
      <c r="F89" s="17"/>
      <c r="G89" s="6" t="s">
        <v>377</v>
      </c>
    </row>
    <row r="90" spans="1:18" x14ac:dyDescent="0.2">
      <c r="B90" s="38" t="s">
        <v>374</v>
      </c>
      <c r="C90" s="9">
        <f>LOOKUP(f,'Steinmetz factor'!B4:B12,'Steinmetz factor'!E4:E12)</f>
        <v>1.734</v>
      </c>
      <c r="E90" s="10"/>
      <c r="F90" s="17"/>
      <c r="G90" s="6" t="s">
        <v>377</v>
      </c>
    </row>
    <row r="91" spans="1:18" x14ac:dyDescent="0.2">
      <c r="A91" s="7" t="s">
        <v>319</v>
      </c>
      <c r="C91" s="9"/>
      <c r="E91" s="10"/>
      <c r="F91" s="17"/>
    </row>
    <row r="92" spans="1:18" s="42" customFormat="1" x14ac:dyDescent="0.2">
      <c r="A92" s="86"/>
      <c r="B92" s="42" t="s">
        <v>320</v>
      </c>
      <c r="C92" s="81" t="s">
        <v>321</v>
      </c>
      <c r="E92" s="82"/>
      <c r="F92" s="83"/>
      <c r="G92" s="42" t="s">
        <v>322</v>
      </c>
      <c r="I92" s="84"/>
      <c r="R92" s="87"/>
    </row>
    <row r="93" spans="1:18" s="42" customFormat="1" x14ac:dyDescent="0.2">
      <c r="A93" s="86"/>
      <c r="B93" s="42" t="s">
        <v>325</v>
      </c>
      <c r="C93" s="81">
        <f ca="1">(8/pi^2)^(alpha-1)*(8/pi^2)^(1-alpha)*C88*f^alpha*Bm^beta*0.5^(1-alpha)</f>
        <v>5.0140384723006335</v>
      </c>
      <c r="D93" s="42" t="s">
        <v>378</v>
      </c>
      <c r="E93" s="82"/>
      <c r="F93" s="83" t="s">
        <v>58</v>
      </c>
      <c r="G93" s="42" t="s">
        <v>324</v>
      </c>
      <c r="I93" s="84"/>
      <c r="R93" s="87"/>
    </row>
    <row r="94" spans="1:18" s="42" customFormat="1" x14ac:dyDescent="0.2">
      <c r="A94" s="86"/>
      <c r="B94" s="42" t="s">
        <v>323</v>
      </c>
      <c r="C94" s="81">
        <v>2.5000000000000001E-2</v>
      </c>
      <c r="E94" s="82"/>
      <c r="F94" s="83" t="s">
        <v>109</v>
      </c>
      <c r="G94" s="42" t="s">
        <v>326</v>
      </c>
      <c r="I94" s="84"/>
      <c r="R94" s="87"/>
    </row>
    <row r="95" spans="1:18" s="42" customFormat="1" x14ac:dyDescent="0.2">
      <c r="A95" s="86"/>
      <c r="B95" s="42" t="s">
        <v>318</v>
      </c>
      <c r="C95" s="81">
        <v>0.75</v>
      </c>
      <c r="E95" s="82"/>
      <c r="F95" s="83"/>
      <c r="G95" s="42" t="s">
        <v>327</v>
      </c>
      <c r="I95" s="84"/>
      <c r="R95" s="87"/>
    </row>
    <row r="96" spans="1:18" s="42" customFormat="1" x14ac:dyDescent="0.2">
      <c r="A96" s="86"/>
      <c r="B96" s="42" t="s">
        <v>347</v>
      </c>
      <c r="C96" s="81">
        <v>7180</v>
      </c>
      <c r="E96" s="82"/>
      <c r="F96" s="83" t="s">
        <v>430</v>
      </c>
      <c r="G96" s="42" t="s">
        <v>348</v>
      </c>
      <c r="I96" s="84"/>
      <c r="R96" s="87"/>
    </row>
    <row r="97" spans="1:18" x14ac:dyDescent="0.2">
      <c r="A97" s="7" t="s">
        <v>57</v>
      </c>
      <c r="C97" s="9"/>
      <c r="E97" s="10"/>
      <c r="F97" s="17"/>
    </row>
    <row r="98" spans="1:18" x14ac:dyDescent="0.2">
      <c r="B98" s="6" t="s">
        <v>328</v>
      </c>
      <c r="C98" s="9"/>
      <c r="E98" s="10">
        <f>Vol*gcm3_core</f>
        <v>99.982609565103743</v>
      </c>
      <c r="F98" s="17" t="s">
        <v>329</v>
      </c>
      <c r="G98" s="6" t="s">
        <v>330</v>
      </c>
    </row>
    <row r="99" spans="1:18" x14ac:dyDescent="0.2">
      <c r="B99" s="9" t="s">
        <v>59</v>
      </c>
      <c r="C99" s="9"/>
      <c r="E99" s="10">
        <f ca="1">KgCore_3p*Pfeo_3p</f>
        <v>501.31665092044346</v>
      </c>
      <c r="F99" s="17" t="s">
        <v>100</v>
      </c>
      <c r="G99" s="6" t="s">
        <v>96</v>
      </c>
    </row>
    <row r="100" spans="1:18" x14ac:dyDescent="0.2">
      <c r="A100" s="7" t="s">
        <v>60</v>
      </c>
      <c r="C100" s="9"/>
      <c r="E100" s="10"/>
      <c r="F100" s="17"/>
    </row>
    <row r="101" spans="1:18" x14ac:dyDescent="0.2">
      <c r="B101" s="6" t="s">
        <v>61</v>
      </c>
      <c r="C101" s="9"/>
      <c r="E101" s="10">
        <f ca="1">Pcu_3p+Pcore_3p</f>
        <v>11073.080080426938</v>
      </c>
      <c r="F101" s="17" t="s">
        <v>100</v>
      </c>
      <c r="G101" s="6" t="s">
        <v>97</v>
      </c>
    </row>
    <row r="102" spans="1:18" x14ac:dyDescent="0.2">
      <c r="B102" s="6" t="s">
        <v>62</v>
      </c>
      <c r="C102" s="9"/>
      <c r="E102" s="10">
        <f ca="1">(Pin/(E101+Pin))*100</f>
        <v>99.723937214322589</v>
      </c>
      <c r="F102" s="17" t="s">
        <v>99</v>
      </c>
      <c r="G102" s="6" t="s">
        <v>98</v>
      </c>
    </row>
    <row r="103" spans="1:18" s="42" customFormat="1" x14ac:dyDescent="0.2">
      <c r="A103" s="75" t="s">
        <v>346</v>
      </c>
      <c r="B103" s="76"/>
      <c r="C103" s="77"/>
      <c r="D103" s="76"/>
      <c r="E103" s="78"/>
      <c r="F103" s="79"/>
      <c r="G103" s="76"/>
      <c r="H103" s="76"/>
      <c r="I103" s="84"/>
      <c r="R103" s="87"/>
    </row>
    <row r="104" spans="1:18" s="42" customFormat="1" x14ac:dyDescent="0.2">
      <c r="A104" s="76"/>
      <c r="B104" s="76" t="s">
        <v>359</v>
      </c>
      <c r="C104" s="77"/>
      <c r="D104" s="76"/>
      <c r="E104" s="78"/>
      <c r="F104" s="79"/>
      <c r="G104" s="76" t="s">
        <v>360</v>
      </c>
      <c r="H104" s="76"/>
      <c r="I104" s="84"/>
    </row>
    <row r="105" spans="1:18" s="42" customFormat="1" x14ac:dyDescent="0.2">
      <c r="A105" s="42" t="s">
        <v>63</v>
      </c>
      <c r="C105" s="81"/>
      <c r="F105" s="83"/>
      <c r="I105" s="84"/>
    </row>
    <row r="106" spans="1:18" s="42" customFormat="1" x14ac:dyDescent="0.2">
      <c r="A106" s="42" t="s">
        <v>64</v>
      </c>
      <c r="C106" s="81"/>
      <c r="F106" s="83"/>
      <c r="I106" s="84"/>
    </row>
  </sheetData>
  <customSheetViews>
    <customSheetView guid="{4BC1E79B-7364-4615-87D5-9423F10F4E5B}" topLeftCell="A40">
      <selection activeCell="B93" sqref="B93"/>
      <pageMargins left="0.7" right="0.7" top="0.75" bottom="0.75" header="0.3" footer="0.3"/>
      <pageSetup paperSize="9" orientation="portrait" r:id="rId1"/>
    </customSheetView>
    <customSheetView guid="{E61536A5-1B37-499F-8E23-CE5FFEBBA059}">
      <selection activeCell="V7" sqref="V7"/>
      <pageMargins left="0.7" right="0.7" top="0.75" bottom="0.75" header="0.3" footer="0.3"/>
      <pageSetup paperSize="9" orientation="portrait" r:id="rId2"/>
    </customSheetView>
  </customSheetViews>
  <mergeCells count="10">
    <mergeCell ref="J75:J77"/>
    <mergeCell ref="N75:N77"/>
    <mergeCell ref="N80:N81"/>
    <mergeCell ref="O80:O81"/>
    <mergeCell ref="P33:Q33"/>
    <mergeCell ref="A1:G1"/>
    <mergeCell ref="J6:J7"/>
    <mergeCell ref="A5:A13"/>
    <mergeCell ref="A14:A20"/>
    <mergeCell ref="K14:K15"/>
  </mergeCells>
  <pageMargins left="0.7" right="0.7" top="0.75" bottom="0.75" header="0.3" footer="0.3"/>
  <pageSetup paperSize="9"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128"/>
  <sheetViews>
    <sheetView workbookViewId="0">
      <selection activeCell="M9" sqref="M9:O9"/>
    </sheetView>
  </sheetViews>
  <sheetFormatPr defaultRowHeight="15" x14ac:dyDescent="0.25"/>
  <cols>
    <col min="1" max="1" width="5" customWidth="1"/>
    <col min="2" max="2" width="6" customWidth="1"/>
    <col min="11" max="11" width="19.85546875" customWidth="1"/>
    <col min="12" max="12" width="14.85546875" customWidth="1"/>
    <col min="18" max="18" width="9.140625" style="67"/>
    <col min="19" max="19" width="9.7109375" style="67" customWidth="1"/>
    <col min="20" max="20" width="9.140625" style="67"/>
    <col min="21" max="21" width="13.7109375" style="67" customWidth="1"/>
    <col min="22" max="22" width="9.140625" style="67"/>
  </cols>
  <sheetData>
    <row r="1" spans="2:21" ht="15.75" thickBot="1" x14ac:dyDescent="0.3">
      <c r="R1" s="71">
        <v>11.683999999999999</v>
      </c>
      <c r="S1" s="70">
        <v>-3</v>
      </c>
      <c r="T1" s="66">
        <v>107</v>
      </c>
      <c r="U1" s="66">
        <v>0.1608</v>
      </c>
    </row>
    <row r="2" spans="2:21" x14ac:dyDescent="0.25">
      <c r="B2" s="157" t="s">
        <v>107</v>
      </c>
      <c r="C2" s="141" t="s">
        <v>126</v>
      </c>
      <c r="D2" s="160"/>
      <c r="E2" s="141" t="s">
        <v>127</v>
      </c>
      <c r="F2" s="160"/>
      <c r="G2" s="141" t="s">
        <v>129</v>
      </c>
      <c r="H2" s="160"/>
      <c r="I2" s="153" t="s">
        <v>130</v>
      </c>
      <c r="J2" s="154"/>
      <c r="K2" s="55" t="s">
        <v>131</v>
      </c>
      <c r="L2" s="56" t="s">
        <v>133</v>
      </c>
      <c r="M2" s="141" t="s">
        <v>300</v>
      </c>
      <c r="N2" s="142"/>
      <c r="O2" s="143"/>
      <c r="R2" s="72">
        <v>10.404999999999999</v>
      </c>
      <c r="S2" s="70">
        <v>-2</v>
      </c>
      <c r="T2" s="66">
        <v>85</v>
      </c>
      <c r="U2" s="66">
        <v>0.20280000000000001</v>
      </c>
    </row>
    <row r="3" spans="2:21" ht="15.75" thickBot="1" x14ac:dyDescent="0.3">
      <c r="B3" s="158"/>
      <c r="C3" s="144"/>
      <c r="D3" s="161"/>
      <c r="E3" s="144" t="s">
        <v>128</v>
      </c>
      <c r="F3" s="161"/>
      <c r="G3" s="144"/>
      <c r="H3" s="161"/>
      <c r="I3" s="155" t="s">
        <v>298</v>
      </c>
      <c r="J3" s="156"/>
      <c r="K3" s="46" t="s">
        <v>123</v>
      </c>
      <c r="L3" s="47" t="s">
        <v>125</v>
      </c>
      <c r="M3" s="144"/>
      <c r="N3" s="145"/>
      <c r="O3" s="146"/>
      <c r="R3" s="72">
        <v>9.266</v>
      </c>
      <c r="S3" s="70">
        <v>-1</v>
      </c>
      <c r="T3" s="66">
        <v>67.400000000000006</v>
      </c>
      <c r="U3" s="66">
        <v>0.25569999999999998</v>
      </c>
    </row>
    <row r="4" spans="2:21" ht="15.75" thickBot="1" x14ac:dyDescent="0.3">
      <c r="B4" s="158"/>
      <c r="C4" s="147" t="s">
        <v>135</v>
      </c>
      <c r="D4" s="147" t="s">
        <v>136</v>
      </c>
      <c r="E4" s="147" t="s">
        <v>137</v>
      </c>
      <c r="F4" s="147" t="s">
        <v>138</v>
      </c>
      <c r="G4" s="149" t="s">
        <v>139</v>
      </c>
      <c r="H4" s="147" t="s">
        <v>140</v>
      </c>
      <c r="I4" s="46" t="s">
        <v>141</v>
      </c>
      <c r="J4" s="47" t="s">
        <v>143</v>
      </c>
      <c r="K4" s="47" t="s">
        <v>124</v>
      </c>
      <c r="L4" s="47" t="s">
        <v>134</v>
      </c>
      <c r="M4" s="47" t="s">
        <v>145</v>
      </c>
      <c r="N4" s="151" t="s">
        <v>147</v>
      </c>
      <c r="O4" s="152"/>
      <c r="R4" s="72">
        <v>8.2509999999999994</v>
      </c>
      <c r="S4" s="70">
        <v>0</v>
      </c>
      <c r="T4" s="66">
        <v>53.5</v>
      </c>
      <c r="U4" s="66">
        <v>0.32240000000000002</v>
      </c>
    </row>
    <row r="5" spans="2:21" ht="15.75" thickBot="1" x14ac:dyDescent="0.3">
      <c r="B5" s="159"/>
      <c r="C5" s="148"/>
      <c r="D5" s="148"/>
      <c r="E5" s="148"/>
      <c r="F5" s="148"/>
      <c r="G5" s="150"/>
      <c r="H5" s="148"/>
      <c r="I5" s="48" t="s">
        <v>142</v>
      </c>
      <c r="J5" s="48" t="s">
        <v>144</v>
      </c>
      <c r="K5" s="49" t="s">
        <v>132</v>
      </c>
      <c r="L5" s="50"/>
      <c r="M5" s="48" t="s">
        <v>146</v>
      </c>
      <c r="N5" s="48" t="s">
        <v>148</v>
      </c>
      <c r="O5" s="57" t="s">
        <v>149</v>
      </c>
      <c r="R5" s="72">
        <v>7.3479999999999999</v>
      </c>
      <c r="S5" s="70">
        <v>1</v>
      </c>
      <c r="T5" s="66">
        <v>42.4</v>
      </c>
      <c r="U5" s="66">
        <v>0.40660000000000002</v>
      </c>
    </row>
    <row r="6" spans="2:21" ht="26.25" thickBot="1" x14ac:dyDescent="0.3">
      <c r="B6" s="58" t="s">
        <v>150</v>
      </c>
      <c r="C6" s="51" t="s">
        <v>151</v>
      </c>
      <c r="D6" s="51" t="s">
        <v>152</v>
      </c>
      <c r="E6" s="53">
        <v>2.17</v>
      </c>
      <c r="F6" s="53">
        <v>0.85599999999999998</v>
      </c>
      <c r="G6" s="53">
        <v>212</v>
      </c>
      <c r="H6" s="53">
        <v>107</v>
      </c>
      <c r="I6" s="53">
        <v>0.1608</v>
      </c>
      <c r="J6" s="53">
        <v>4.9009999999999998E-2</v>
      </c>
      <c r="K6" s="53" t="s">
        <v>153</v>
      </c>
      <c r="L6" s="52"/>
      <c r="M6" s="53" t="s">
        <v>154</v>
      </c>
      <c r="N6" s="53" t="s">
        <v>155</v>
      </c>
      <c r="O6" s="59" t="s">
        <v>156</v>
      </c>
      <c r="R6" s="72">
        <v>6.5439999999999996</v>
      </c>
      <c r="S6" s="70">
        <v>2</v>
      </c>
      <c r="T6" s="66">
        <v>33.6</v>
      </c>
      <c r="U6" s="66">
        <v>0.51270000000000004</v>
      </c>
    </row>
    <row r="7" spans="2:21" ht="26.25" thickBot="1" x14ac:dyDescent="0.3">
      <c r="B7" s="58" t="s">
        <v>157</v>
      </c>
      <c r="C7" s="53">
        <v>0.40960000000000002</v>
      </c>
      <c r="D7" s="53">
        <v>10.404999999999999</v>
      </c>
      <c r="E7" s="53">
        <v>2.44</v>
      </c>
      <c r="F7" s="53">
        <v>0.96099999999999997</v>
      </c>
      <c r="G7" s="53">
        <v>168</v>
      </c>
      <c r="H7" s="53">
        <v>85</v>
      </c>
      <c r="I7" s="53">
        <v>0.20280000000000001</v>
      </c>
      <c r="J7" s="53">
        <v>6.1800000000000001E-2</v>
      </c>
      <c r="K7" s="53" t="s">
        <v>158</v>
      </c>
      <c r="L7" s="52"/>
      <c r="M7" s="53" t="s">
        <v>159</v>
      </c>
      <c r="N7" s="53" t="s">
        <v>160</v>
      </c>
      <c r="O7" s="59" t="s">
        <v>161</v>
      </c>
      <c r="R7" s="72">
        <v>5.827</v>
      </c>
      <c r="S7" s="70">
        <v>3</v>
      </c>
      <c r="T7" s="66">
        <v>26.7</v>
      </c>
      <c r="U7" s="66">
        <v>0.64649999999999996</v>
      </c>
    </row>
    <row r="8" spans="2:21" ht="26.25" thickBot="1" x14ac:dyDescent="0.3">
      <c r="B8" s="58" t="s">
        <v>162</v>
      </c>
      <c r="C8" s="53">
        <v>0.36480000000000001</v>
      </c>
      <c r="D8" s="53">
        <v>9.266</v>
      </c>
      <c r="E8" s="53">
        <v>2.74</v>
      </c>
      <c r="F8" s="53">
        <v>1.08</v>
      </c>
      <c r="G8" s="53">
        <v>133</v>
      </c>
      <c r="H8" s="53">
        <v>67.400000000000006</v>
      </c>
      <c r="I8" s="53">
        <v>0.25569999999999998</v>
      </c>
      <c r="J8" s="53">
        <v>7.7929999999999999E-2</v>
      </c>
      <c r="K8" s="53" t="s">
        <v>163</v>
      </c>
      <c r="L8" s="52"/>
      <c r="M8" s="53" t="s">
        <v>164</v>
      </c>
      <c r="N8" s="53" t="s">
        <v>165</v>
      </c>
      <c r="O8" s="59" t="s">
        <v>166</v>
      </c>
      <c r="R8" s="72">
        <v>5.1890000000000001</v>
      </c>
      <c r="S8" s="70">
        <v>4</v>
      </c>
      <c r="T8" s="66">
        <v>21.2</v>
      </c>
      <c r="U8" s="66">
        <v>0.81520000000000004</v>
      </c>
    </row>
    <row r="9" spans="2:21" ht="26.25" thickBot="1" x14ac:dyDescent="0.3">
      <c r="B9" s="58" t="s">
        <v>167</v>
      </c>
      <c r="C9" s="53">
        <v>0.32490000000000002</v>
      </c>
      <c r="D9" s="53">
        <v>8.2509999999999994</v>
      </c>
      <c r="E9" s="53">
        <v>3.08</v>
      </c>
      <c r="F9" s="53">
        <v>1.21</v>
      </c>
      <c r="G9" s="53">
        <v>106</v>
      </c>
      <c r="H9" s="53">
        <v>53.5</v>
      </c>
      <c r="I9" s="53">
        <v>0.32240000000000002</v>
      </c>
      <c r="J9" s="53">
        <v>9.8269999999999996E-2</v>
      </c>
      <c r="K9" s="53" t="s">
        <v>168</v>
      </c>
      <c r="L9" s="52"/>
      <c r="M9" s="53" t="s">
        <v>169</v>
      </c>
      <c r="N9" s="53" t="s">
        <v>170</v>
      </c>
      <c r="O9" s="59" t="s">
        <v>171</v>
      </c>
      <c r="R9" s="72">
        <v>4.6210000000000004</v>
      </c>
      <c r="S9" s="70">
        <v>5</v>
      </c>
      <c r="T9" s="66">
        <v>16.8</v>
      </c>
      <c r="U9" s="66">
        <v>1.028</v>
      </c>
    </row>
    <row r="10" spans="2:21" ht="15.75" thickBot="1" x14ac:dyDescent="0.3">
      <c r="B10" s="58">
        <v>1</v>
      </c>
      <c r="C10" s="53">
        <v>0.2893</v>
      </c>
      <c r="D10" s="53">
        <v>7.3479999999999999</v>
      </c>
      <c r="E10" s="53">
        <v>3.46</v>
      </c>
      <c r="F10" s="53">
        <v>1.36</v>
      </c>
      <c r="G10" s="53">
        <v>83.7</v>
      </c>
      <c r="H10" s="53">
        <v>42.4</v>
      </c>
      <c r="I10" s="53">
        <v>0.40660000000000002</v>
      </c>
      <c r="J10" s="53">
        <v>0.1239</v>
      </c>
      <c r="K10" s="53" t="s">
        <v>172</v>
      </c>
      <c r="L10" s="52"/>
      <c r="M10" s="53" t="s">
        <v>173</v>
      </c>
      <c r="N10" s="53" t="s">
        <v>174</v>
      </c>
      <c r="O10" s="59" t="s">
        <v>175</v>
      </c>
      <c r="R10" s="72">
        <v>4.1150000000000002</v>
      </c>
      <c r="S10" s="70">
        <v>6</v>
      </c>
      <c r="T10" s="66">
        <v>13.3</v>
      </c>
      <c r="U10" s="66">
        <v>1.296</v>
      </c>
    </row>
    <row r="11" spans="2:21" ht="15.75" thickBot="1" x14ac:dyDescent="0.3">
      <c r="B11" s="58">
        <v>2</v>
      </c>
      <c r="C11" s="53">
        <v>0.2576</v>
      </c>
      <c r="D11" s="53">
        <v>6.5439999999999996</v>
      </c>
      <c r="E11" s="53">
        <v>3.88</v>
      </c>
      <c r="F11" s="53">
        <v>1.53</v>
      </c>
      <c r="G11" s="53">
        <v>66.400000000000006</v>
      </c>
      <c r="H11" s="53">
        <v>33.6</v>
      </c>
      <c r="I11" s="53">
        <v>0.51270000000000004</v>
      </c>
      <c r="J11" s="53">
        <v>0.15629999999999999</v>
      </c>
      <c r="K11" s="53" t="s">
        <v>176</v>
      </c>
      <c r="L11" s="52"/>
      <c r="M11" s="53" t="s">
        <v>177</v>
      </c>
      <c r="N11" s="53" t="s">
        <v>178</v>
      </c>
      <c r="O11" s="59" t="s">
        <v>179</v>
      </c>
      <c r="R11" s="72">
        <v>3.665</v>
      </c>
      <c r="S11" s="70">
        <v>7</v>
      </c>
      <c r="T11" s="66">
        <v>10.5</v>
      </c>
      <c r="U11" s="66">
        <v>1.6339999999999999</v>
      </c>
    </row>
    <row r="12" spans="2:21" ht="15.75" thickBot="1" x14ac:dyDescent="0.3">
      <c r="B12" s="58">
        <v>3</v>
      </c>
      <c r="C12" s="53">
        <v>0.22939999999999999</v>
      </c>
      <c r="D12" s="53">
        <v>5.827</v>
      </c>
      <c r="E12" s="53">
        <v>4.3600000000000003</v>
      </c>
      <c r="F12" s="53">
        <v>1.72</v>
      </c>
      <c r="G12" s="53">
        <v>52.6</v>
      </c>
      <c r="H12" s="53">
        <v>26.7</v>
      </c>
      <c r="I12" s="53">
        <v>0.64649999999999996</v>
      </c>
      <c r="J12" s="53">
        <v>0.19700000000000001</v>
      </c>
      <c r="K12" s="53" t="s">
        <v>180</v>
      </c>
      <c r="L12" s="53" t="s">
        <v>181</v>
      </c>
      <c r="M12" s="53" t="s">
        <v>182</v>
      </c>
      <c r="N12" s="53" t="s">
        <v>183</v>
      </c>
      <c r="O12" s="59" t="s">
        <v>184</v>
      </c>
      <c r="R12" s="72">
        <v>3.2639999999999998</v>
      </c>
      <c r="S12" s="70">
        <v>8</v>
      </c>
      <c r="T12" s="66">
        <v>8.3699999999999992</v>
      </c>
      <c r="U12" s="66">
        <v>2.0609999999999999</v>
      </c>
    </row>
    <row r="13" spans="2:21" ht="15.75" thickBot="1" x14ac:dyDescent="0.3">
      <c r="B13" s="58">
        <v>4</v>
      </c>
      <c r="C13" s="53">
        <v>0.20430000000000001</v>
      </c>
      <c r="D13" s="53">
        <v>5.1890000000000001</v>
      </c>
      <c r="E13" s="53">
        <v>4.8899999999999997</v>
      </c>
      <c r="F13" s="53">
        <v>1.93</v>
      </c>
      <c r="G13" s="53">
        <v>41.7</v>
      </c>
      <c r="H13" s="53">
        <v>21.2</v>
      </c>
      <c r="I13" s="53">
        <v>0.81520000000000004</v>
      </c>
      <c r="J13" s="53">
        <v>0.2485</v>
      </c>
      <c r="K13" s="53" t="s">
        <v>185</v>
      </c>
      <c r="L13" s="52"/>
      <c r="M13" s="53" t="s">
        <v>186</v>
      </c>
      <c r="N13" s="53" t="s">
        <v>187</v>
      </c>
      <c r="O13" s="59" t="s">
        <v>188</v>
      </c>
      <c r="R13" s="72">
        <v>2.9060000000000001</v>
      </c>
      <c r="S13" s="70">
        <v>9</v>
      </c>
      <c r="T13" s="66">
        <v>6.63</v>
      </c>
      <c r="U13" s="66">
        <v>2.5990000000000002</v>
      </c>
    </row>
    <row r="14" spans="2:21" ht="15.75" thickBot="1" x14ac:dyDescent="0.3">
      <c r="B14" s="58">
        <v>5</v>
      </c>
      <c r="C14" s="53">
        <v>0.18190000000000001</v>
      </c>
      <c r="D14" s="53">
        <v>4.6210000000000004</v>
      </c>
      <c r="E14" s="53">
        <v>5.5</v>
      </c>
      <c r="F14" s="53">
        <v>2.16</v>
      </c>
      <c r="G14" s="53">
        <v>33.1</v>
      </c>
      <c r="H14" s="53">
        <v>16.8</v>
      </c>
      <c r="I14" s="53">
        <v>1.028</v>
      </c>
      <c r="J14" s="53">
        <v>0.31330000000000002</v>
      </c>
      <c r="K14" s="52"/>
      <c r="L14" s="53" t="s">
        <v>189</v>
      </c>
      <c r="M14" s="53" t="s">
        <v>190</v>
      </c>
      <c r="N14" s="53" t="s">
        <v>191</v>
      </c>
      <c r="O14" s="59" t="s">
        <v>192</v>
      </c>
      <c r="R14" s="72">
        <v>2.5880000000000001</v>
      </c>
      <c r="S14" s="70">
        <v>10</v>
      </c>
      <c r="T14" s="66">
        <v>5.26</v>
      </c>
      <c r="U14" s="66">
        <v>3.2770000000000001</v>
      </c>
    </row>
    <row r="15" spans="2:21" ht="15.75" thickBot="1" x14ac:dyDescent="0.3">
      <c r="B15" s="58">
        <v>6</v>
      </c>
      <c r="C15" s="53">
        <v>0.16200000000000001</v>
      </c>
      <c r="D15" s="53">
        <v>4.1150000000000002</v>
      </c>
      <c r="E15" s="53">
        <v>6.17</v>
      </c>
      <c r="F15" s="53">
        <v>2.4300000000000002</v>
      </c>
      <c r="G15" s="53">
        <v>26.3</v>
      </c>
      <c r="H15" s="53">
        <v>13.3</v>
      </c>
      <c r="I15" s="53">
        <v>1.296</v>
      </c>
      <c r="J15" s="53">
        <v>0.39510000000000001</v>
      </c>
      <c r="K15" s="53" t="s">
        <v>193</v>
      </c>
      <c r="L15" s="52"/>
      <c r="M15" s="53" t="s">
        <v>194</v>
      </c>
      <c r="N15" s="53" t="s">
        <v>195</v>
      </c>
      <c r="O15" s="59" t="s">
        <v>196</v>
      </c>
      <c r="R15" s="72">
        <v>2.3050000000000002</v>
      </c>
      <c r="S15" s="70">
        <v>11</v>
      </c>
      <c r="T15" s="66">
        <v>4.17</v>
      </c>
      <c r="U15" s="66">
        <v>4.1319999999999997</v>
      </c>
    </row>
    <row r="16" spans="2:21" ht="15.75" thickBot="1" x14ac:dyDescent="0.3">
      <c r="B16" s="58">
        <v>7</v>
      </c>
      <c r="C16" s="53">
        <v>0.14430000000000001</v>
      </c>
      <c r="D16" s="53">
        <v>3.665</v>
      </c>
      <c r="E16" s="53">
        <v>6.93</v>
      </c>
      <c r="F16" s="53">
        <v>2.73</v>
      </c>
      <c r="G16" s="53">
        <v>20.8</v>
      </c>
      <c r="H16" s="53">
        <v>10.5</v>
      </c>
      <c r="I16" s="53">
        <v>1.6339999999999999</v>
      </c>
      <c r="J16" s="53">
        <v>0.49819999999999998</v>
      </c>
      <c r="K16" s="52"/>
      <c r="L16" s="53" t="s">
        <v>197</v>
      </c>
      <c r="M16" s="53" t="s">
        <v>198</v>
      </c>
      <c r="N16" s="53" t="s">
        <v>154</v>
      </c>
      <c r="O16" s="59" t="s">
        <v>199</v>
      </c>
      <c r="R16" s="72">
        <v>2.0529999999999999</v>
      </c>
      <c r="S16" s="70">
        <v>12</v>
      </c>
      <c r="T16" s="66">
        <v>3.31</v>
      </c>
      <c r="U16" s="66">
        <v>5.2110000000000003</v>
      </c>
    </row>
    <row r="17" spans="2:24" ht="15.75" thickBot="1" x14ac:dyDescent="0.3">
      <c r="B17" s="58">
        <v>8</v>
      </c>
      <c r="C17" s="53">
        <v>0.1285</v>
      </c>
      <c r="D17" s="53">
        <v>3.2639999999999998</v>
      </c>
      <c r="E17" s="53">
        <v>7.78</v>
      </c>
      <c r="F17" s="53">
        <v>3.06</v>
      </c>
      <c r="G17" s="53">
        <v>16.5</v>
      </c>
      <c r="H17" s="53">
        <v>8.3699999999999992</v>
      </c>
      <c r="I17" s="53">
        <v>2.0609999999999999</v>
      </c>
      <c r="J17" s="53">
        <v>0.62819999999999998</v>
      </c>
      <c r="K17" s="53" t="s">
        <v>200</v>
      </c>
      <c r="L17" s="52"/>
      <c r="M17" s="53" t="s">
        <v>201</v>
      </c>
      <c r="N17" s="53" t="s">
        <v>202</v>
      </c>
      <c r="O17" s="59" t="s">
        <v>203</v>
      </c>
      <c r="R17" s="72">
        <v>1.8280000000000001</v>
      </c>
      <c r="S17" s="70">
        <v>13</v>
      </c>
      <c r="T17" s="66">
        <v>2.62</v>
      </c>
      <c r="U17" s="66">
        <v>6.5709999999999997</v>
      </c>
      <c r="X17">
        <v>11.683999999999999</v>
      </c>
    </row>
    <row r="18" spans="2:24" ht="15.75" thickBot="1" x14ac:dyDescent="0.3">
      <c r="B18" s="58">
        <v>9</v>
      </c>
      <c r="C18" s="53">
        <v>0.1144</v>
      </c>
      <c r="D18" s="53">
        <v>2.9060000000000001</v>
      </c>
      <c r="E18" s="53">
        <v>8.74</v>
      </c>
      <c r="F18" s="53">
        <v>3.44</v>
      </c>
      <c r="G18" s="53">
        <v>13.1</v>
      </c>
      <c r="H18" s="53">
        <v>6.63</v>
      </c>
      <c r="I18" s="53">
        <v>2.5990000000000002</v>
      </c>
      <c r="J18" s="53">
        <v>0.79210000000000003</v>
      </c>
      <c r="K18" s="52"/>
      <c r="L18" s="130" t="s">
        <v>204</v>
      </c>
      <c r="M18" s="53" t="s">
        <v>205</v>
      </c>
      <c r="N18" s="53" t="s">
        <v>206</v>
      </c>
      <c r="O18" s="59" t="s">
        <v>207</v>
      </c>
      <c r="R18" s="72">
        <v>1.6279999999999999</v>
      </c>
      <c r="S18" s="70">
        <v>14</v>
      </c>
      <c r="T18" s="66">
        <v>2.08</v>
      </c>
      <c r="U18" s="66">
        <v>8.2859999999999996</v>
      </c>
      <c r="X18">
        <f>LOOKUP(X17,R1:R44,S1:S44)</f>
        <v>40</v>
      </c>
    </row>
    <row r="19" spans="2:24" ht="15.75" thickBot="1" x14ac:dyDescent="0.3">
      <c r="B19" s="58">
        <v>10</v>
      </c>
      <c r="C19" s="53">
        <v>0.1019</v>
      </c>
      <c r="D19" s="53">
        <v>2.5880000000000001</v>
      </c>
      <c r="E19" s="53">
        <v>9.81</v>
      </c>
      <c r="F19" s="53">
        <v>3.86</v>
      </c>
      <c r="G19" s="53">
        <v>10.4</v>
      </c>
      <c r="H19" s="53">
        <v>5.26</v>
      </c>
      <c r="I19" s="53">
        <v>3.2770000000000001</v>
      </c>
      <c r="J19" s="53">
        <v>0.99890000000000001</v>
      </c>
      <c r="K19" s="53" t="s">
        <v>208</v>
      </c>
      <c r="L19" s="131"/>
      <c r="M19" s="53" t="s">
        <v>209</v>
      </c>
      <c r="N19" s="53" t="s">
        <v>173</v>
      </c>
      <c r="O19" s="59" t="s">
        <v>210</v>
      </c>
      <c r="R19" s="72">
        <v>1.45</v>
      </c>
      <c r="S19" s="70">
        <v>15</v>
      </c>
      <c r="T19" s="66">
        <v>1.65</v>
      </c>
      <c r="U19" s="66">
        <v>10.45</v>
      </c>
    </row>
    <row r="20" spans="2:24" ht="15.75" thickBot="1" x14ac:dyDescent="0.3">
      <c r="B20" s="58">
        <v>11</v>
      </c>
      <c r="C20" s="53">
        <v>9.0700000000000003E-2</v>
      </c>
      <c r="D20" s="53">
        <v>2.3050000000000002</v>
      </c>
      <c r="E20" s="53">
        <v>11</v>
      </c>
      <c r="F20" s="53">
        <v>4.34</v>
      </c>
      <c r="G20" s="53">
        <v>8.23</v>
      </c>
      <c r="H20" s="53">
        <v>4.17</v>
      </c>
      <c r="I20" s="53">
        <v>4.1319999999999997</v>
      </c>
      <c r="J20" s="53">
        <v>1.26</v>
      </c>
      <c r="K20" s="52"/>
      <c r="L20" s="53" t="s">
        <v>211</v>
      </c>
      <c r="M20" s="53" t="s">
        <v>212</v>
      </c>
      <c r="N20" s="53" t="s">
        <v>177</v>
      </c>
      <c r="O20" s="59" t="s">
        <v>213</v>
      </c>
      <c r="R20" s="72">
        <v>1.2909999999999999</v>
      </c>
      <c r="S20" s="70">
        <v>16</v>
      </c>
      <c r="T20" s="66">
        <v>1.31</v>
      </c>
      <c r="U20" s="66">
        <v>13.17</v>
      </c>
    </row>
    <row r="21" spans="2:24" ht="15.75" thickBot="1" x14ac:dyDescent="0.3">
      <c r="B21" s="58">
        <v>12</v>
      </c>
      <c r="C21" s="53">
        <v>8.0799999999999997E-2</v>
      </c>
      <c r="D21" s="53">
        <v>2.0529999999999999</v>
      </c>
      <c r="E21" s="53">
        <v>12.4</v>
      </c>
      <c r="F21" s="53">
        <v>4.87</v>
      </c>
      <c r="G21" s="53">
        <v>6.53</v>
      </c>
      <c r="H21" s="53">
        <v>3.31</v>
      </c>
      <c r="I21" s="53">
        <v>5.2110000000000003</v>
      </c>
      <c r="J21" s="53">
        <v>1.5880000000000001</v>
      </c>
      <c r="K21" s="53" t="s">
        <v>214</v>
      </c>
      <c r="L21" s="52"/>
      <c r="M21" s="53" t="s">
        <v>215</v>
      </c>
      <c r="N21" s="53" t="s">
        <v>216</v>
      </c>
      <c r="O21" s="59" t="s">
        <v>217</v>
      </c>
      <c r="R21" s="72">
        <v>1.1499999999999999</v>
      </c>
      <c r="S21" s="70">
        <v>17</v>
      </c>
      <c r="T21" s="66">
        <v>1.04</v>
      </c>
      <c r="U21" s="66">
        <v>16.61</v>
      </c>
    </row>
    <row r="22" spans="2:24" ht="15.75" thickBot="1" x14ac:dyDescent="0.3">
      <c r="B22" s="58">
        <v>13</v>
      </c>
      <c r="C22" s="53">
        <v>7.1999999999999995E-2</v>
      </c>
      <c r="D22" s="53">
        <v>1.8280000000000001</v>
      </c>
      <c r="E22" s="53">
        <v>13.9</v>
      </c>
      <c r="F22" s="53">
        <v>5.47</v>
      </c>
      <c r="G22" s="53">
        <v>5.18</v>
      </c>
      <c r="H22" s="53">
        <v>2.62</v>
      </c>
      <c r="I22" s="53">
        <v>6.5709999999999997</v>
      </c>
      <c r="J22" s="53">
        <v>2.0030000000000001</v>
      </c>
      <c r="K22" s="52"/>
      <c r="L22" s="53" t="s">
        <v>218</v>
      </c>
      <c r="M22" s="53" t="s">
        <v>219</v>
      </c>
      <c r="N22" s="53" t="s">
        <v>220</v>
      </c>
      <c r="O22" s="59" t="s">
        <v>221</v>
      </c>
      <c r="R22" s="72">
        <v>1.024</v>
      </c>
      <c r="S22" s="70">
        <v>18</v>
      </c>
      <c r="T22" s="66">
        <v>0.82299999999999995</v>
      </c>
      <c r="U22" s="66">
        <v>20.95</v>
      </c>
    </row>
    <row r="23" spans="2:24" ht="15.75" thickBot="1" x14ac:dyDescent="0.3">
      <c r="B23" s="58">
        <v>14</v>
      </c>
      <c r="C23" s="53">
        <v>6.4100000000000004E-2</v>
      </c>
      <c r="D23" s="53">
        <v>1.6279999999999999</v>
      </c>
      <c r="E23" s="53">
        <v>15.6</v>
      </c>
      <c r="F23" s="53">
        <v>6.14</v>
      </c>
      <c r="G23" s="53">
        <v>4.1100000000000003</v>
      </c>
      <c r="H23" s="53">
        <v>2.08</v>
      </c>
      <c r="I23" s="53">
        <v>8.2859999999999996</v>
      </c>
      <c r="J23" s="53">
        <v>2.5249999999999999</v>
      </c>
      <c r="K23" s="53" t="s">
        <v>222</v>
      </c>
      <c r="L23" s="53" t="s">
        <v>223</v>
      </c>
      <c r="M23" s="53" t="s">
        <v>224</v>
      </c>
      <c r="N23" s="53" t="s">
        <v>225</v>
      </c>
      <c r="O23" s="59" t="s">
        <v>226</v>
      </c>
      <c r="R23" s="72">
        <v>0.91200000000000003</v>
      </c>
      <c r="S23" s="70">
        <v>19</v>
      </c>
      <c r="T23" s="66">
        <v>0.65300000000000002</v>
      </c>
      <c r="U23" s="66">
        <v>26.42</v>
      </c>
    </row>
    <row r="24" spans="2:24" ht="15.75" thickBot="1" x14ac:dyDescent="0.3">
      <c r="B24" s="58">
        <v>15</v>
      </c>
      <c r="C24" s="53">
        <v>5.7099999999999998E-2</v>
      </c>
      <c r="D24" s="53">
        <v>1.45</v>
      </c>
      <c r="E24" s="53">
        <v>17.5</v>
      </c>
      <c r="F24" s="53">
        <v>6.9</v>
      </c>
      <c r="G24" s="53">
        <v>3.26</v>
      </c>
      <c r="H24" s="53">
        <v>1.65</v>
      </c>
      <c r="I24" s="53">
        <v>10.45</v>
      </c>
      <c r="J24" s="53">
        <v>3.1840000000000002</v>
      </c>
      <c r="K24" s="52"/>
      <c r="L24" s="130" t="s">
        <v>227</v>
      </c>
      <c r="M24" s="53" t="s">
        <v>228</v>
      </c>
      <c r="N24" s="53" t="s">
        <v>229</v>
      </c>
      <c r="O24" s="59" t="s">
        <v>230</v>
      </c>
      <c r="R24" s="72">
        <v>0.81200000000000006</v>
      </c>
      <c r="S24" s="70">
        <v>20</v>
      </c>
      <c r="T24" s="66">
        <v>0.51800000000000002</v>
      </c>
      <c r="U24" s="66">
        <v>33.31</v>
      </c>
    </row>
    <row r="25" spans="2:24" ht="15.75" thickBot="1" x14ac:dyDescent="0.3">
      <c r="B25" s="58">
        <v>16</v>
      </c>
      <c r="C25" s="53">
        <v>5.0799999999999998E-2</v>
      </c>
      <c r="D25" s="53">
        <v>1.2909999999999999</v>
      </c>
      <c r="E25" s="53">
        <v>19.7</v>
      </c>
      <c r="F25" s="53">
        <v>7.75</v>
      </c>
      <c r="G25" s="53">
        <v>2.58</v>
      </c>
      <c r="H25" s="53">
        <v>1.31</v>
      </c>
      <c r="I25" s="53">
        <v>13.17</v>
      </c>
      <c r="J25" s="53">
        <v>4.016</v>
      </c>
      <c r="K25" s="53" t="s">
        <v>231</v>
      </c>
      <c r="L25" s="131"/>
      <c r="M25" s="53" t="s">
        <v>232</v>
      </c>
      <c r="N25" s="53" t="s">
        <v>233</v>
      </c>
      <c r="O25" s="59" t="s">
        <v>234</v>
      </c>
      <c r="R25" s="72">
        <v>0.72299999999999998</v>
      </c>
      <c r="S25" s="70">
        <v>21</v>
      </c>
      <c r="T25" s="66">
        <v>0.41</v>
      </c>
      <c r="U25" s="66">
        <v>42</v>
      </c>
    </row>
    <row r="26" spans="2:24" ht="15.75" thickBot="1" x14ac:dyDescent="0.3">
      <c r="B26" s="58">
        <v>17</v>
      </c>
      <c r="C26" s="53">
        <v>4.53E-2</v>
      </c>
      <c r="D26" s="53">
        <v>1.1499999999999999</v>
      </c>
      <c r="E26" s="53">
        <v>22.1</v>
      </c>
      <c r="F26" s="53">
        <v>8.6999999999999993</v>
      </c>
      <c r="G26" s="53">
        <v>2.0499999999999998</v>
      </c>
      <c r="H26" s="53">
        <v>1.04</v>
      </c>
      <c r="I26" s="53">
        <v>16.61</v>
      </c>
      <c r="J26" s="53">
        <v>5.0640000000000001</v>
      </c>
      <c r="K26" s="52"/>
      <c r="L26" s="53" t="s">
        <v>235</v>
      </c>
      <c r="M26" s="53" t="s">
        <v>236</v>
      </c>
      <c r="N26" s="53" t="s">
        <v>237</v>
      </c>
      <c r="O26" s="59" t="s">
        <v>238</v>
      </c>
      <c r="R26" s="72">
        <v>0.64400000000000002</v>
      </c>
      <c r="S26" s="70">
        <v>22</v>
      </c>
      <c r="T26" s="66">
        <v>0.32600000000000001</v>
      </c>
      <c r="U26" s="66">
        <v>52.96</v>
      </c>
    </row>
    <row r="27" spans="2:24" ht="15.75" thickBot="1" x14ac:dyDescent="0.3">
      <c r="B27" s="58">
        <v>18</v>
      </c>
      <c r="C27" s="53">
        <v>4.0300000000000002E-2</v>
      </c>
      <c r="D27" s="53">
        <v>1.024</v>
      </c>
      <c r="E27" s="53">
        <v>24.8</v>
      </c>
      <c r="F27" s="53">
        <v>9.77</v>
      </c>
      <c r="G27" s="53">
        <v>1.62</v>
      </c>
      <c r="H27" s="53">
        <v>0.82299999999999995</v>
      </c>
      <c r="I27" s="53">
        <v>20.95</v>
      </c>
      <c r="J27" s="53">
        <v>6.3849999999999998</v>
      </c>
      <c r="K27" s="53" t="s">
        <v>239</v>
      </c>
      <c r="L27" s="130" t="s">
        <v>240</v>
      </c>
      <c r="M27" s="53" t="s">
        <v>241</v>
      </c>
      <c r="N27" s="53" t="s">
        <v>242</v>
      </c>
      <c r="O27" s="59" t="s">
        <v>243</v>
      </c>
      <c r="R27" s="72">
        <v>0.57299999999999995</v>
      </c>
      <c r="S27" s="70">
        <v>23</v>
      </c>
      <c r="T27" s="66">
        <v>0.25800000000000001</v>
      </c>
      <c r="U27" s="66">
        <v>66.790000000000006</v>
      </c>
    </row>
    <row r="28" spans="2:24" ht="15.75" thickBot="1" x14ac:dyDescent="0.3">
      <c r="B28" s="58">
        <v>19</v>
      </c>
      <c r="C28" s="53">
        <v>3.5900000000000001E-2</v>
      </c>
      <c r="D28" s="53">
        <v>0.91200000000000003</v>
      </c>
      <c r="E28" s="53">
        <v>27.9</v>
      </c>
      <c r="F28" s="53">
        <v>11</v>
      </c>
      <c r="G28" s="53">
        <v>1.29</v>
      </c>
      <c r="H28" s="53">
        <v>0.65300000000000002</v>
      </c>
      <c r="I28" s="53">
        <v>26.42</v>
      </c>
      <c r="J28" s="53">
        <v>8.0510000000000002</v>
      </c>
      <c r="K28" s="52"/>
      <c r="L28" s="131"/>
      <c r="M28" s="53" t="s">
        <v>244</v>
      </c>
      <c r="N28" s="53" t="s">
        <v>219</v>
      </c>
      <c r="O28" s="59" t="s">
        <v>182</v>
      </c>
      <c r="R28" s="72">
        <v>0.51100000000000001</v>
      </c>
      <c r="S28" s="70">
        <v>24</v>
      </c>
      <c r="T28" s="66">
        <v>0.20499999999999999</v>
      </c>
      <c r="U28" s="66">
        <v>84.22</v>
      </c>
    </row>
    <row r="29" spans="2:24" ht="15.75" thickBot="1" x14ac:dyDescent="0.3">
      <c r="B29" s="58">
        <v>20</v>
      </c>
      <c r="C29" s="53">
        <v>3.2000000000000001E-2</v>
      </c>
      <c r="D29" s="53">
        <v>0.81200000000000006</v>
      </c>
      <c r="E29" s="53">
        <v>31.3</v>
      </c>
      <c r="F29" s="53">
        <v>12.3</v>
      </c>
      <c r="G29" s="53">
        <v>1.02</v>
      </c>
      <c r="H29" s="53">
        <v>0.51800000000000002</v>
      </c>
      <c r="I29" s="53">
        <v>33.31</v>
      </c>
      <c r="J29" s="53">
        <v>10.15</v>
      </c>
      <c r="K29" s="52"/>
      <c r="L29" s="53" t="s">
        <v>245</v>
      </c>
      <c r="M29" s="53" t="s">
        <v>246</v>
      </c>
      <c r="N29" s="53" t="s">
        <v>247</v>
      </c>
      <c r="O29" s="59" t="s">
        <v>248</v>
      </c>
      <c r="R29" s="72">
        <v>0.45500000000000002</v>
      </c>
      <c r="S29" s="70">
        <v>25</v>
      </c>
      <c r="T29" s="66">
        <v>0.16200000000000001</v>
      </c>
      <c r="U29" s="66">
        <v>106.2</v>
      </c>
    </row>
    <row r="30" spans="2:24" ht="15.75" thickBot="1" x14ac:dyDescent="0.3">
      <c r="B30" s="58">
        <v>21</v>
      </c>
      <c r="C30" s="53">
        <v>2.8500000000000001E-2</v>
      </c>
      <c r="D30" s="53">
        <v>0.72299999999999998</v>
      </c>
      <c r="E30" s="53">
        <v>35.1</v>
      </c>
      <c r="F30" s="53">
        <v>13.8</v>
      </c>
      <c r="G30" s="53">
        <v>0.81</v>
      </c>
      <c r="H30" s="53">
        <v>0.41</v>
      </c>
      <c r="I30" s="53">
        <v>42</v>
      </c>
      <c r="J30" s="53">
        <v>12.8</v>
      </c>
      <c r="K30" s="52"/>
      <c r="L30" s="53" t="s">
        <v>249</v>
      </c>
      <c r="M30" s="53" t="s">
        <v>250</v>
      </c>
      <c r="N30" s="53" t="s">
        <v>251</v>
      </c>
      <c r="O30" s="59" t="s">
        <v>252</v>
      </c>
      <c r="R30" s="72">
        <v>0.40500000000000003</v>
      </c>
      <c r="S30" s="70">
        <v>26</v>
      </c>
      <c r="T30" s="66">
        <v>0.129</v>
      </c>
      <c r="U30" s="66">
        <v>133.9</v>
      </c>
    </row>
    <row r="31" spans="2:24" ht="15.75" thickBot="1" x14ac:dyDescent="0.3">
      <c r="B31" s="58">
        <v>22</v>
      </c>
      <c r="C31" s="53">
        <v>2.53E-2</v>
      </c>
      <c r="D31" s="53">
        <v>0.64400000000000002</v>
      </c>
      <c r="E31" s="53">
        <v>39.5</v>
      </c>
      <c r="F31" s="53">
        <v>15.5</v>
      </c>
      <c r="G31" s="53">
        <v>0.64200000000000002</v>
      </c>
      <c r="H31" s="53">
        <v>0.32600000000000001</v>
      </c>
      <c r="I31" s="53">
        <v>52.96</v>
      </c>
      <c r="J31" s="53">
        <v>16.14</v>
      </c>
      <c r="K31" s="52"/>
      <c r="L31" s="53" t="s">
        <v>253</v>
      </c>
      <c r="M31" s="53" t="s">
        <v>254</v>
      </c>
      <c r="N31" s="53" t="s">
        <v>236</v>
      </c>
      <c r="O31" s="59" t="s">
        <v>255</v>
      </c>
      <c r="R31" s="72">
        <v>0.36099999999999999</v>
      </c>
      <c r="S31" s="70">
        <v>27</v>
      </c>
      <c r="T31" s="66">
        <v>0.10199999999999999</v>
      </c>
      <c r="U31" s="66">
        <v>168.9</v>
      </c>
    </row>
    <row r="32" spans="2:24" ht="15.75" thickBot="1" x14ac:dyDescent="0.3">
      <c r="B32" s="58">
        <v>23</v>
      </c>
      <c r="C32" s="53">
        <v>2.2599999999999999E-2</v>
      </c>
      <c r="D32" s="53">
        <v>0.57299999999999995</v>
      </c>
      <c r="E32" s="53">
        <v>44.3</v>
      </c>
      <c r="F32" s="53">
        <v>17.399999999999999</v>
      </c>
      <c r="G32" s="53">
        <v>0.50900000000000001</v>
      </c>
      <c r="H32" s="53">
        <v>0.25800000000000001</v>
      </c>
      <c r="I32" s="53">
        <v>66.790000000000006</v>
      </c>
      <c r="J32" s="53">
        <v>20.36</v>
      </c>
      <c r="K32" s="52"/>
      <c r="L32" s="52"/>
      <c r="M32" s="53" t="s">
        <v>256</v>
      </c>
      <c r="N32" s="53" t="s">
        <v>257</v>
      </c>
      <c r="O32" s="59" t="s">
        <v>258</v>
      </c>
      <c r="R32" s="72">
        <v>0.32100000000000001</v>
      </c>
      <c r="S32" s="70">
        <v>28</v>
      </c>
      <c r="T32" s="66">
        <v>8.1000000000000003E-2</v>
      </c>
      <c r="U32" s="66">
        <v>212.9</v>
      </c>
    </row>
    <row r="33" spans="2:21" ht="26.25" thickBot="1" x14ac:dyDescent="0.3">
      <c r="B33" s="58">
        <v>24</v>
      </c>
      <c r="C33" s="53">
        <v>2.01E-2</v>
      </c>
      <c r="D33" s="53">
        <v>0.51100000000000001</v>
      </c>
      <c r="E33" s="53">
        <v>49.7</v>
      </c>
      <c r="F33" s="53">
        <v>19.600000000000001</v>
      </c>
      <c r="G33" s="53">
        <v>0.40400000000000003</v>
      </c>
      <c r="H33" s="53">
        <v>0.20499999999999999</v>
      </c>
      <c r="I33" s="53">
        <v>84.22</v>
      </c>
      <c r="J33" s="53">
        <v>25.67</v>
      </c>
      <c r="K33" s="52"/>
      <c r="L33" s="53" t="s">
        <v>259</v>
      </c>
      <c r="M33" s="53" t="s">
        <v>260</v>
      </c>
      <c r="N33" s="53" t="s">
        <v>261</v>
      </c>
      <c r="O33" s="59" t="s">
        <v>262</v>
      </c>
      <c r="R33" s="72">
        <v>0.28599999999999998</v>
      </c>
      <c r="S33" s="70">
        <v>29</v>
      </c>
      <c r="T33" s="66">
        <v>6.4199999999999993E-2</v>
      </c>
      <c r="U33" s="66">
        <v>268.5</v>
      </c>
    </row>
    <row r="34" spans="2:21" ht="15.75" thickBot="1" x14ac:dyDescent="0.3">
      <c r="B34" s="58">
        <v>25</v>
      </c>
      <c r="C34" s="53">
        <v>1.7899999999999999E-2</v>
      </c>
      <c r="D34" s="53">
        <v>0.45500000000000002</v>
      </c>
      <c r="E34" s="53">
        <v>55.9</v>
      </c>
      <c r="F34" s="53">
        <v>22</v>
      </c>
      <c r="G34" s="53">
        <v>0.32</v>
      </c>
      <c r="H34" s="53">
        <v>0.16200000000000001</v>
      </c>
      <c r="I34" s="53">
        <v>106.2</v>
      </c>
      <c r="J34" s="53">
        <v>32.369999999999997</v>
      </c>
      <c r="K34" s="52"/>
      <c r="L34" s="52"/>
      <c r="M34" s="53" t="s">
        <v>263</v>
      </c>
      <c r="N34" s="53" t="s">
        <v>250</v>
      </c>
      <c r="O34" s="59" t="s">
        <v>264</v>
      </c>
      <c r="R34" s="72">
        <v>0.255</v>
      </c>
      <c r="S34" s="70">
        <v>30</v>
      </c>
      <c r="T34" s="66">
        <v>5.0900000000000001E-2</v>
      </c>
      <c r="U34" s="66">
        <v>338.6</v>
      </c>
    </row>
    <row r="35" spans="2:21" ht="15.75" thickBot="1" x14ac:dyDescent="0.3">
      <c r="B35" s="58">
        <v>26</v>
      </c>
      <c r="C35" s="53">
        <v>1.5900000000000001E-2</v>
      </c>
      <c r="D35" s="53">
        <v>0.40500000000000003</v>
      </c>
      <c r="E35" s="53">
        <v>62.7</v>
      </c>
      <c r="F35" s="53">
        <v>24.7</v>
      </c>
      <c r="G35" s="53">
        <v>0.254</v>
      </c>
      <c r="H35" s="53">
        <v>0.129</v>
      </c>
      <c r="I35" s="53">
        <v>133.9</v>
      </c>
      <c r="J35" s="53">
        <v>40.81</v>
      </c>
      <c r="K35" s="52"/>
      <c r="L35" s="53" t="s">
        <v>265</v>
      </c>
      <c r="M35" s="53" t="s">
        <v>266</v>
      </c>
      <c r="N35" s="53" t="s">
        <v>267</v>
      </c>
      <c r="O35" s="59" t="s">
        <v>268</v>
      </c>
      <c r="R35" s="72">
        <v>0.22700000000000001</v>
      </c>
      <c r="S35" s="70">
        <v>31</v>
      </c>
      <c r="T35" s="66">
        <v>4.0399999999999998E-2</v>
      </c>
      <c r="U35" s="66">
        <v>426.9</v>
      </c>
    </row>
    <row r="36" spans="2:21" ht="15.75" thickBot="1" x14ac:dyDescent="0.3">
      <c r="B36" s="58">
        <v>27</v>
      </c>
      <c r="C36" s="53">
        <v>1.4200000000000001E-2</v>
      </c>
      <c r="D36" s="53">
        <v>0.36099999999999999</v>
      </c>
      <c r="E36" s="53">
        <v>70.400000000000006</v>
      </c>
      <c r="F36" s="53">
        <v>27.7</v>
      </c>
      <c r="G36" s="53">
        <v>0.20200000000000001</v>
      </c>
      <c r="H36" s="53">
        <v>0.10199999999999999</v>
      </c>
      <c r="I36" s="53">
        <v>168.9</v>
      </c>
      <c r="J36" s="53">
        <v>51.47</v>
      </c>
      <c r="K36" s="52"/>
      <c r="L36" s="52"/>
      <c r="M36" s="53" t="s">
        <v>269</v>
      </c>
      <c r="N36" s="53" t="s">
        <v>270</v>
      </c>
      <c r="O36" s="59" t="s">
        <v>271</v>
      </c>
      <c r="R36" s="72">
        <v>0.20200000000000001</v>
      </c>
      <c r="S36" s="70">
        <v>32</v>
      </c>
      <c r="T36" s="66">
        <v>3.2000000000000001E-2</v>
      </c>
      <c r="U36" s="66">
        <v>538.29999999999995</v>
      </c>
    </row>
    <row r="37" spans="2:21" ht="15.75" thickBot="1" x14ac:dyDescent="0.3">
      <c r="B37" s="58">
        <v>28</v>
      </c>
      <c r="C37" s="53">
        <v>1.26E-2</v>
      </c>
      <c r="D37" s="53">
        <v>0.32100000000000001</v>
      </c>
      <c r="E37" s="53">
        <v>79.099999999999994</v>
      </c>
      <c r="F37" s="53">
        <v>31.1</v>
      </c>
      <c r="G37" s="53">
        <v>0.16</v>
      </c>
      <c r="H37" s="53">
        <v>8.1000000000000003E-2</v>
      </c>
      <c r="I37" s="53">
        <v>212.9</v>
      </c>
      <c r="J37" s="53">
        <v>64.900000000000006</v>
      </c>
      <c r="K37" s="52"/>
      <c r="L37" s="53" t="s">
        <v>272</v>
      </c>
      <c r="M37" s="53" t="s">
        <v>273</v>
      </c>
      <c r="N37" s="53" t="s">
        <v>263</v>
      </c>
      <c r="O37" s="59" t="s">
        <v>274</v>
      </c>
      <c r="R37" s="72">
        <v>0.18</v>
      </c>
      <c r="S37" s="70">
        <v>33</v>
      </c>
      <c r="T37" s="66">
        <v>2.5399999999999999E-2</v>
      </c>
      <c r="U37" s="66">
        <v>678.8</v>
      </c>
    </row>
    <row r="38" spans="2:21" ht="15.75" thickBot="1" x14ac:dyDescent="0.3">
      <c r="B38" s="58">
        <v>29</v>
      </c>
      <c r="C38" s="53">
        <v>1.1299999999999999E-2</v>
      </c>
      <c r="D38" s="53">
        <v>0.28599999999999998</v>
      </c>
      <c r="E38" s="53">
        <v>88.8</v>
      </c>
      <c r="F38" s="53">
        <v>35</v>
      </c>
      <c r="G38" s="53">
        <v>0.127</v>
      </c>
      <c r="H38" s="53">
        <v>6.4199999999999993E-2</v>
      </c>
      <c r="I38" s="53">
        <v>268.5</v>
      </c>
      <c r="J38" s="53">
        <v>81.84</v>
      </c>
      <c r="K38" s="52"/>
      <c r="L38" s="52"/>
      <c r="M38" s="54">
        <v>0</v>
      </c>
      <c r="N38" s="53" t="s">
        <v>266</v>
      </c>
      <c r="O38" s="59" t="s">
        <v>275</v>
      </c>
      <c r="R38" s="72">
        <v>0.16</v>
      </c>
      <c r="S38" s="70">
        <v>34</v>
      </c>
      <c r="T38" s="66">
        <v>2.01E-2</v>
      </c>
      <c r="U38" s="66">
        <v>856</v>
      </c>
    </row>
    <row r="39" spans="2:21" ht="15.75" thickBot="1" x14ac:dyDescent="0.3">
      <c r="B39" s="58">
        <v>30</v>
      </c>
      <c r="C39" s="53">
        <v>0.01</v>
      </c>
      <c r="D39" s="53">
        <v>0.255</v>
      </c>
      <c r="E39" s="53">
        <v>99.7</v>
      </c>
      <c r="F39" s="53">
        <v>39.299999999999997</v>
      </c>
      <c r="G39" s="53">
        <v>0.10100000000000001</v>
      </c>
      <c r="H39" s="53">
        <v>5.0900000000000001E-2</v>
      </c>
      <c r="I39" s="53">
        <v>338.6</v>
      </c>
      <c r="J39" s="53">
        <v>103.2</v>
      </c>
      <c r="K39" s="52"/>
      <c r="L39" s="53" t="s">
        <v>276</v>
      </c>
      <c r="M39" s="54">
        <v>0.41666666666666669</v>
      </c>
      <c r="N39" s="53" t="s">
        <v>277</v>
      </c>
      <c r="O39" s="59" t="s">
        <v>278</v>
      </c>
      <c r="R39" s="72">
        <v>0.14299999999999999</v>
      </c>
      <c r="S39" s="70">
        <v>35</v>
      </c>
      <c r="T39" s="66">
        <v>1.6E-2</v>
      </c>
      <c r="U39" s="66">
        <v>1079</v>
      </c>
    </row>
    <row r="40" spans="2:21" ht="15.75" thickBot="1" x14ac:dyDescent="0.3">
      <c r="B40" s="58">
        <v>31</v>
      </c>
      <c r="C40" s="53">
        <v>8.9300000000000004E-3</v>
      </c>
      <c r="D40" s="53">
        <v>0.22700000000000001</v>
      </c>
      <c r="E40" s="53">
        <v>112</v>
      </c>
      <c r="F40" s="53">
        <v>44.1</v>
      </c>
      <c r="G40" s="53">
        <v>7.9699999999999993E-2</v>
      </c>
      <c r="H40" s="53">
        <v>4.0399999999999998E-2</v>
      </c>
      <c r="I40" s="53">
        <v>426.9</v>
      </c>
      <c r="J40" s="53">
        <v>130.1</v>
      </c>
      <c r="K40" s="52"/>
      <c r="L40" s="52"/>
      <c r="M40" s="54">
        <v>0.375</v>
      </c>
      <c r="N40" s="54">
        <v>0</v>
      </c>
      <c r="O40" s="59" t="s">
        <v>279</v>
      </c>
      <c r="R40" s="71">
        <v>0.127</v>
      </c>
      <c r="S40" s="70">
        <v>36</v>
      </c>
      <c r="T40" s="66">
        <v>1.2699999999999999E-2</v>
      </c>
      <c r="U40" s="66">
        <v>1361</v>
      </c>
    </row>
    <row r="41" spans="2:21" ht="15.75" thickBot="1" x14ac:dyDescent="0.3">
      <c r="B41" s="58">
        <v>32</v>
      </c>
      <c r="C41" s="53">
        <v>7.9500000000000005E-3</v>
      </c>
      <c r="D41" s="53">
        <v>0.20200000000000001</v>
      </c>
      <c r="E41" s="53">
        <v>126</v>
      </c>
      <c r="F41" s="53">
        <v>49.5</v>
      </c>
      <c r="G41" s="53">
        <v>6.3200000000000006E-2</v>
      </c>
      <c r="H41" s="53">
        <v>3.2000000000000001E-2</v>
      </c>
      <c r="I41" s="53">
        <v>538.29999999999995</v>
      </c>
      <c r="J41" s="53">
        <v>164.1</v>
      </c>
      <c r="K41" s="52"/>
      <c r="L41" s="53" t="s">
        <v>280</v>
      </c>
      <c r="M41" s="54">
        <v>0.29166666666666669</v>
      </c>
      <c r="N41" s="54">
        <v>0.41666666666666669</v>
      </c>
      <c r="O41" s="59" t="s">
        <v>281</v>
      </c>
      <c r="R41" s="72">
        <v>0.113</v>
      </c>
      <c r="S41" s="70">
        <v>37</v>
      </c>
      <c r="T41" s="66">
        <v>0.01</v>
      </c>
      <c r="U41" s="66">
        <v>1716</v>
      </c>
    </row>
    <row r="42" spans="2:21" ht="15.75" thickBot="1" x14ac:dyDescent="0.3">
      <c r="B42" s="58">
        <v>33</v>
      </c>
      <c r="C42" s="53">
        <v>7.0800000000000004E-3</v>
      </c>
      <c r="D42" s="53">
        <v>0.18</v>
      </c>
      <c r="E42" s="53">
        <v>141</v>
      </c>
      <c r="F42" s="53">
        <v>55.6</v>
      </c>
      <c r="G42" s="53">
        <v>5.0099999999999999E-2</v>
      </c>
      <c r="H42" s="53">
        <v>2.5399999999999999E-2</v>
      </c>
      <c r="I42" s="53">
        <v>678.8</v>
      </c>
      <c r="J42" s="53">
        <v>206.9</v>
      </c>
      <c r="K42" s="52"/>
      <c r="L42" s="52"/>
      <c r="M42" s="54">
        <v>0.25</v>
      </c>
      <c r="N42" s="53" t="s">
        <v>282</v>
      </c>
      <c r="O42" s="59" t="s">
        <v>283</v>
      </c>
      <c r="R42" s="72">
        <v>0.10100000000000001</v>
      </c>
      <c r="S42" s="70">
        <v>38</v>
      </c>
      <c r="T42" s="66">
        <v>7.9699999999999997E-3</v>
      </c>
      <c r="U42" s="66">
        <v>2164</v>
      </c>
    </row>
    <row r="43" spans="2:21" ht="15.75" thickBot="1" x14ac:dyDescent="0.3">
      <c r="B43" s="58">
        <v>34</v>
      </c>
      <c r="C43" s="53">
        <v>6.3E-3</v>
      </c>
      <c r="D43" s="53">
        <v>0.16</v>
      </c>
      <c r="E43" s="53">
        <v>159</v>
      </c>
      <c r="F43" s="53">
        <v>62.4</v>
      </c>
      <c r="G43" s="53">
        <v>3.9800000000000002E-2</v>
      </c>
      <c r="H43" s="53">
        <v>2.01E-2</v>
      </c>
      <c r="I43" s="53">
        <v>856</v>
      </c>
      <c r="J43" s="53">
        <v>260.89999999999998</v>
      </c>
      <c r="K43" s="52"/>
      <c r="L43" s="52"/>
      <c r="M43" s="54">
        <v>0.20833333333333334</v>
      </c>
      <c r="N43" s="53" t="s">
        <v>284</v>
      </c>
      <c r="O43" s="59" t="s">
        <v>285</v>
      </c>
      <c r="R43" s="72">
        <v>8.9700000000000002E-2</v>
      </c>
      <c r="S43" s="70">
        <v>39</v>
      </c>
      <c r="T43" s="66">
        <v>6.3200000000000001E-3</v>
      </c>
      <c r="U43" s="66">
        <v>2729</v>
      </c>
    </row>
    <row r="44" spans="2:21" ht="15.75" thickBot="1" x14ac:dyDescent="0.3">
      <c r="B44" s="58">
        <v>35</v>
      </c>
      <c r="C44" s="53">
        <v>5.6100000000000004E-3</v>
      </c>
      <c r="D44" s="53">
        <v>0.14299999999999999</v>
      </c>
      <c r="E44" s="53">
        <v>178</v>
      </c>
      <c r="F44" s="53">
        <v>70.099999999999994</v>
      </c>
      <c r="G44" s="53">
        <v>3.15E-2</v>
      </c>
      <c r="H44" s="53">
        <v>1.6E-2</v>
      </c>
      <c r="I44" s="53">
        <v>1079</v>
      </c>
      <c r="J44" s="53">
        <v>329</v>
      </c>
      <c r="K44" s="52"/>
      <c r="L44" s="52"/>
      <c r="M44" s="54">
        <v>0.16666666666666666</v>
      </c>
      <c r="N44" s="53" t="s">
        <v>286</v>
      </c>
      <c r="O44" s="59" t="s">
        <v>287</v>
      </c>
      <c r="R44" s="72">
        <v>7.9899999999999999E-2</v>
      </c>
      <c r="S44" s="70">
        <v>40</v>
      </c>
      <c r="T44" s="66">
        <v>5.0099999999999997E-3</v>
      </c>
      <c r="U44" s="66">
        <v>3441</v>
      </c>
    </row>
    <row r="45" spans="2:21" ht="15.75" thickBot="1" x14ac:dyDescent="0.3">
      <c r="B45" s="58">
        <v>36</v>
      </c>
      <c r="C45" s="51" t="s">
        <v>288</v>
      </c>
      <c r="D45" s="51" t="s">
        <v>289</v>
      </c>
      <c r="E45" s="53" t="s">
        <v>290</v>
      </c>
      <c r="F45" s="53">
        <v>78.7</v>
      </c>
      <c r="G45" s="53">
        <v>2.5000000000000001E-2</v>
      </c>
      <c r="H45" s="53">
        <v>1.2699999999999999E-2</v>
      </c>
      <c r="I45" s="53">
        <v>1361</v>
      </c>
      <c r="J45" s="53">
        <v>414.8</v>
      </c>
      <c r="K45" s="52"/>
      <c r="L45" s="52"/>
      <c r="M45" s="54">
        <v>0.16666666666666666</v>
      </c>
      <c r="N45" s="53" t="s">
        <v>291</v>
      </c>
      <c r="O45" s="59" t="s">
        <v>292</v>
      </c>
    </row>
    <row r="46" spans="2:21" ht="15.75" thickBot="1" x14ac:dyDescent="0.3">
      <c r="B46" s="58">
        <v>37</v>
      </c>
      <c r="C46" s="53">
        <v>4.45E-3</v>
      </c>
      <c r="D46" s="53">
        <v>0.113</v>
      </c>
      <c r="E46" s="53">
        <v>225</v>
      </c>
      <c r="F46" s="53">
        <v>88.4</v>
      </c>
      <c r="G46" s="53">
        <v>1.9800000000000002E-2</v>
      </c>
      <c r="H46" s="53">
        <v>0.01</v>
      </c>
      <c r="I46" s="53">
        <v>1716</v>
      </c>
      <c r="J46" s="53">
        <v>523.1</v>
      </c>
      <c r="K46" s="52"/>
      <c r="L46" s="52"/>
      <c r="M46" s="54">
        <v>0.125</v>
      </c>
      <c r="N46" s="53" t="s">
        <v>293</v>
      </c>
      <c r="O46" s="59" t="s">
        <v>269</v>
      </c>
    </row>
    <row r="47" spans="2:21" ht="15.75" thickBot="1" x14ac:dyDescent="0.3">
      <c r="B47" s="58">
        <v>38</v>
      </c>
      <c r="C47" s="53">
        <v>3.9699999999999996E-3</v>
      </c>
      <c r="D47" s="53">
        <v>0.10100000000000001</v>
      </c>
      <c r="E47" s="53">
        <v>252</v>
      </c>
      <c r="F47" s="53">
        <v>99.3</v>
      </c>
      <c r="G47" s="53">
        <v>1.5699999999999999E-2</v>
      </c>
      <c r="H47" s="53">
        <v>7.9699999999999997E-3</v>
      </c>
      <c r="I47" s="53">
        <v>2164</v>
      </c>
      <c r="J47" s="53">
        <v>659.6</v>
      </c>
      <c r="K47" s="52"/>
      <c r="L47" s="52"/>
      <c r="M47" s="54">
        <v>0.125</v>
      </c>
      <c r="N47" s="53" t="s">
        <v>294</v>
      </c>
      <c r="O47" s="59" t="s">
        <v>273</v>
      </c>
    </row>
    <row r="48" spans="2:21" ht="15.75" thickBot="1" x14ac:dyDescent="0.3">
      <c r="B48" s="58">
        <v>39</v>
      </c>
      <c r="C48" s="53">
        <v>3.5300000000000002E-3</v>
      </c>
      <c r="D48" s="53">
        <v>8.9700000000000002E-2</v>
      </c>
      <c r="E48" s="53">
        <v>283</v>
      </c>
      <c r="F48" s="53">
        <v>111</v>
      </c>
      <c r="G48" s="53">
        <v>1.2500000000000001E-2</v>
      </c>
      <c r="H48" s="53">
        <v>6.3200000000000001E-3</v>
      </c>
      <c r="I48" s="53">
        <v>2729</v>
      </c>
      <c r="J48" s="53">
        <v>831.8</v>
      </c>
      <c r="K48" s="52"/>
      <c r="L48" s="52"/>
      <c r="M48" s="54">
        <v>8.3333333333333329E-2</v>
      </c>
      <c r="N48" s="53" t="s">
        <v>295</v>
      </c>
      <c r="O48" s="60">
        <v>0.45833333333333331</v>
      </c>
    </row>
    <row r="49" spans="2:21" ht="15.75" thickBot="1" x14ac:dyDescent="0.3">
      <c r="B49" s="58">
        <v>40</v>
      </c>
      <c r="C49" s="53">
        <v>3.14E-3</v>
      </c>
      <c r="D49" s="53">
        <v>7.9899999999999999E-2</v>
      </c>
      <c r="E49" s="53">
        <v>318</v>
      </c>
      <c r="F49" s="53">
        <v>125</v>
      </c>
      <c r="G49" s="53">
        <v>9.8899999999999995E-3</v>
      </c>
      <c r="H49" s="53">
        <v>5.0099999999999997E-3</v>
      </c>
      <c r="I49" s="53">
        <v>3441</v>
      </c>
      <c r="J49" s="53">
        <v>1049</v>
      </c>
      <c r="K49" s="52"/>
      <c r="L49" s="52"/>
      <c r="M49" s="54">
        <v>4.1666666666666664E-2</v>
      </c>
      <c r="N49" s="53" t="s">
        <v>296</v>
      </c>
      <c r="O49" s="59" t="s">
        <v>297</v>
      </c>
    </row>
    <row r="50" spans="2:21" x14ac:dyDescent="0.25">
      <c r="B50" s="132" t="s">
        <v>107</v>
      </c>
      <c r="C50" s="118" t="s">
        <v>126</v>
      </c>
      <c r="D50" s="135"/>
      <c r="E50" s="118" t="s">
        <v>127</v>
      </c>
      <c r="F50" s="135"/>
      <c r="G50" s="118" t="s">
        <v>129</v>
      </c>
      <c r="H50" s="135"/>
      <c r="I50" s="137" t="s">
        <v>130</v>
      </c>
      <c r="J50" s="138"/>
      <c r="K50" s="44" t="s">
        <v>131</v>
      </c>
      <c r="L50" s="45" t="s">
        <v>133</v>
      </c>
      <c r="M50" s="118" t="s">
        <v>300</v>
      </c>
      <c r="N50" s="119"/>
      <c r="O50" s="120"/>
      <c r="S50" s="68"/>
      <c r="U50" s="69"/>
    </row>
    <row r="51" spans="2:21" ht="15.75" thickBot="1" x14ac:dyDescent="0.3">
      <c r="B51" s="133"/>
      <c r="C51" s="121"/>
      <c r="D51" s="136"/>
      <c r="E51" s="121" t="s">
        <v>128</v>
      </c>
      <c r="F51" s="136"/>
      <c r="G51" s="121"/>
      <c r="H51" s="136"/>
      <c r="I51" s="139" t="s">
        <v>298</v>
      </c>
      <c r="J51" s="140"/>
      <c r="K51" s="44" t="s">
        <v>123</v>
      </c>
      <c r="L51" s="45" t="s">
        <v>125</v>
      </c>
      <c r="M51" s="121"/>
      <c r="N51" s="122"/>
      <c r="O51" s="123"/>
      <c r="U51" s="69"/>
    </row>
    <row r="52" spans="2:21" ht="15.75" thickBot="1" x14ac:dyDescent="0.3">
      <c r="B52" s="133"/>
      <c r="C52" s="124" t="s">
        <v>135</v>
      </c>
      <c r="D52" s="124" t="s">
        <v>136</v>
      </c>
      <c r="E52" s="124" t="s">
        <v>137</v>
      </c>
      <c r="F52" s="124" t="s">
        <v>138</v>
      </c>
      <c r="G52" s="126" t="s">
        <v>139</v>
      </c>
      <c r="H52" s="124" t="s">
        <v>140</v>
      </c>
      <c r="I52" s="44" t="s">
        <v>141</v>
      </c>
      <c r="J52" s="45" t="s">
        <v>143</v>
      </c>
      <c r="K52" s="45" t="s">
        <v>124</v>
      </c>
      <c r="L52" s="45" t="s">
        <v>134</v>
      </c>
      <c r="M52" s="45" t="s">
        <v>145</v>
      </c>
      <c r="N52" s="128" t="s">
        <v>147</v>
      </c>
      <c r="O52" s="129"/>
      <c r="R52" s="68"/>
      <c r="T52" s="68"/>
      <c r="U52" s="69"/>
    </row>
    <row r="53" spans="2:21" ht="15.75" thickBot="1" x14ac:dyDescent="0.3">
      <c r="B53" s="134"/>
      <c r="C53" s="125"/>
      <c r="D53" s="125"/>
      <c r="E53" s="125"/>
      <c r="F53" s="125"/>
      <c r="G53" s="127"/>
      <c r="H53" s="125"/>
      <c r="I53" s="61" t="s">
        <v>142</v>
      </c>
      <c r="J53" s="61" t="s">
        <v>144</v>
      </c>
      <c r="K53" s="61" t="s">
        <v>299</v>
      </c>
      <c r="L53" s="62"/>
      <c r="M53" s="61" t="s">
        <v>146</v>
      </c>
      <c r="N53" s="61" t="s">
        <v>148</v>
      </c>
      <c r="O53" s="63" t="s">
        <v>149</v>
      </c>
      <c r="U53" s="68"/>
    </row>
    <row r="85" spans="22:26" x14ac:dyDescent="0.25">
      <c r="V85" s="67">
        <v>1</v>
      </c>
      <c r="W85">
        <v>11.683999999999999</v>
      </c>
    </row>
    <row r="86" spans="22:26" x14ac:dyDescent="0.25">
      <c r="V86" s="67">
        <v>2</v>
      </c>
      <c r="W86">
        <v>10.404999999999999</v>
      </c>
    </row>
    <row r="87" spans="22:26" x14ac:dyDescent="0.25">
      <c r="V87" s="67">
        <v>3</v>
      </c>
      <c r="W87">
        <v>9.266</v>
      </c>
    </row>
    <row r="88" spans="22:26" x14ac:dyDescent="0.25">
      <c r="V88" s="67">
        <v>4</v>
      </c>
      <c r="W88">
        <v>8.2509999999999994</v>
      </c>
    </row>
    <row r="89" spans="22:26" x14ac:dyDescent="0.25">
      <c r="V89" s="67">
        <v>5</v>
      </c>
      <c r="W89">
        <v>7.3479999999999999</v>
      </c>
    </row>
    <row r="90" spans="22:26" x14ac:dyDescent="0.25">
      <c r="V90" s="67">
        <v>6</v>
      </c>
      <c r="W90">
        <v>6.5439999999999996</v>
      </c>
      <c r="Z90">
        <v>8.5</v>
      </c>
    </row>
    <row r="91" spans="22:26" x14ac:dyDescent="0.25">
      <c r="V91" s="67">
        <v>7</v>
      </c>
      <c r="W91">
        <v>5.827</v>
      </c>
      <c r="Z91">
        <f>LOOKUP(Z90,W85:W128,V85:V128)</f>
        <v>44</v>
      </c>
    </row>
    <row r="92" spans="22:26" x14ac:dyDescent="0.25">
      <c r="V92" s="67">
        <v>8</v>
      </c>
      <c r="W92">
        <v>5.1890000000000001</v>
      </c>
    </row>
    <row r="93" spans="22:26" x14ac:dyDescent="0.25">
      <c r="V93" s="67">
        <v>9</v>
      </c>
      <c r="W93">
        <v>4.6210000000000004</v>
      </c>
    </row>
    <row r="94" spans="22:26" x14ac:dyDescent="0.25">
      <c r="V94" s="67">
        <v>10</v>
      </c>
      <c r="W94">
        <v>4.1150000000000002</v>
      </c>
    </row>
    <row r="95" spans="22:26" x14ac:dyDescent="0.25">
      <c r="V95" s="67">
        <v>11</v>
      </c>
      <c r="W95">
        <v>3.665</v>
      </c>
    </row>
    <row r="96" spans="22:26" x14ac:dyDescent="0.25">
      <c r="V96" s="67">
        <v>12</v>
      </c>
      <c r="W96">
        <v>3.2639999999999998</v>
      </c>
    </row>
    <row r="97" spans="22:23" x14ac:dyDescent="0.25">
      <c r="V97" s="67">
        <v>13</v>
      </c>
      <c r="W97">
        <v>2.9060000000000001</v>
      </c>
    </row>
    <row r="98" spans="22:23" x14ac:dyDescent="0.25">
      <c r="V98" s="67">
        <v>14</v>
      </c>
      <c r="W98">
        <v>2.5880000000000001</v>
      </c>
    </row>
    <row r="99" spans="22:23" x14ac:dyDescent="0.25">
      <c r="V99" s="67">
        <v>15</v>
      </c>
      <c r="W99">
        <v>2.3050000000000002</v>
      </c>
    </row>
    <row r="100" spans="22:23" x14ac:dyDescent="0.25">
      <c r="V100" s="67">
        <v>16</v>
      </c>
      <c r="W100">
        <v>2.0529999999999999</v>
      </c>
    </row>
    <row r="101" spans="22:23" x14ac:dyDescent="0.25">
      <c r="V101" s="67">
        <v>17</v>
      </c>
      <c r="W101">
        <v>1.8280000000000001</v>
      </c>
    </row>
    <row r="102" spans="22:23" x14ac:dyDescent="0.25">
      <c r="V102" s="67">
        <v>18</v>
      </c>
      <c r="W102">
        <v>1.6279999999999999</v>
      </c>
    </row>
    <row r="103" spans="22:23" x14ac:dyDescent="0.25">
      <c r="V103" s="67">
        <v>19</v>
      </c>
      <c r="W103">
        <v>1.45</v>
      </c>
    </row>
    <row r="104" spans="22:23" x14ac:dyDescent="0.25">
      <c r="V104" s="67">
        <v>20</v>
      </c>
      <c r="W104">
        <v>1.2909999999999999</v>
      </c>
    </row>
    <row r="105" spans="22:23" x14ac:dyDescent="0.25">
      <c r="V105" s="67">
        <v>21</v>
      </c>
      <c r="W105">
        <v>1.1499999999999999</v>
      </c>
    </row>
    <row r="106" spans="22:23" x14ac:dyDescent="0.25">
      <c r="V106" s="67">
        <v>22</v>
      </c>
      <c r="W106">
        <v>1.024</v>
      </c>
    </row>
    <row r="107" spans="22:23" x14ac:dyDescent="0.25">
      <c r="V107" s="67">
        <v>23</v>
      </c>
      <c r="W107">
        <v>0.91200000000000003</v>
      </c>
    </row>
    <row r="108" spans="22:23" x14ac:dyDescent="0.25">
      <c r="V108" s="67">
        <v>24</v>
      </c>
      <c r="W108">
        <v>0.81200000000000006</v>
      </c>
    </row>
    <row r="109" spans="22:23" x14ac:dyDescent="0.25">
      <c r="V109" s="67">
        <v>25</v>
      </c>
      <c r="W109">
        <v>0.72299999999999998</v>
      </c>
    </row>
    <row r="110" spans="22:23" x14ac:dyDescent="0.25">
      <c r="V110" s="67">
        <v>26</v>
      </c>
      <c r="W110">
        <v>0.64400000000000002</v>
      </c>
    </row>
    <row r="111" spans="22:23" x14ac:dyDescent="0.25">
      <c r="V111" s="67">
        <v>27</v>
      </c>
      <c r="W111">
        <v>0.57299999999999995</v>
      </c>
    </row>
    <row r="112" spans="22:23" x14ac:dyDescent="0.25">
      <c r="V112" s="67">
        <v>28</v>
      </c>
      <c r="W112">
        <v>0.51100000000000001</v>
      </c>
    </row>
    <row r="113" spans="22:23" x14ac:dyDescent="0.25">
      <c r="V113" s="67">
        <v>29</v>
      </c>
      <c r="W113">
        <v>0.45500000000000002</v>
      </c>
    </row>
    <row r="114" spans="22:23" x14ac:dyDescent="0.25">
      <c r="V114" s="67">
        <v>30</v>
      </c>
      <c r="W114">
        <v>0.40500000000000003</v>
      </c>
    </row>
    <row r="115" spans="22:23" x14ac:dyDescent="0.25">
      <c r="V115" s="67">
        <v>31</v>
      </c>
      <c r="W115">
        <v>0.36099999999999999</v>
      </c>
    </row>
    <row r="116" spans="22:23" x14ac:dyDescent="0.25">
      <c r="V116" s="67">
        <v>32</v>
      </c>
      <c r="W116">
        <v>0.32100000000000001</v>
      </c>
    </row>
    <row r="117" spans="22:23" x14ac:dyDescent="0.25">
      <c r="V117" s="67">
        <v>33</v>
      </c>
      <c r="W117">
        <v>0.28599999999999998</v>
      </c>
    </row>
    <row r="118" spans="22:23" x14ac:dyDescent="0.25">
      <c r="V118" s="67">
        <v>34</v>
      </c>
      <c r="W118">
        <v>0.255</v>
      </c>
    </row>
    <row r="119" spans="22:23" x14ac:dyDescent="0.25">
      <c r="V119" s="67">
        <v>35</v>
      </c>
      <c r="W119">
        <v>0.22700000000000001</v>
      </c>
    </row>
    <row r="120" spans="22:23" x14ac:dyDescent="0.25">
      <c r="V120" s="67">
        <v>36</v>
      </c>
      <c r="W120">
        <v>0.20200000000000001</v>
      </c>
    </row>
    <row r="121" spans="22:23" x14ac:dyDescent="0.25">
      <c r="V121" s="67">
        <v>37</v>
      </c>
      <c r="W121">
        <v>0.18</v>
      </c>
    </row>
    <row r="122" spans="22:23" x14ac:dyDescent="0.25">
      <c r="V122" s="67">
        <v>38</v>
      </c>
      <c r="W122">
        <v>0.16</v>
      </c>
    </row>
    <row r="123" spans="22:23" x14ac:dyDescent="0.25">
      <c r="V123" s="67">
        <v>39</v>
      </c>
      <c r="W123">
        <v>0.14299999999999999</v>
      </c>
    </row>
    <row r="124" spans="22:23" x14ac:dyDescent="0.25">
      <c r="V124" s="67">
        <v>40</v>
      </c>
      <c r="W124">
        <v>0.127</v>
      </c>
    </row>
    <row r="125" spans="22:23" x14ac:dyDescent="0.25">
      <c r="V125" s="67">
        <v>41</v>
      </c>
      <c r="W125">
        <v>0.113</v>
      </c>
    </row>
    <row r="126" spans="22:23" x14ac:dyDescent="0.25">
      <c r="V126" s="67">
        <v>42</v>
      </c>
      <c r="W126">
        <v>0.10100000000000001</v>
      </c>
    </row>
    <row r="127" spans="22:23" x14ac:dyDescent="0.25">
      <c r="V127" s="67">
        <v>43</v>
      </c>
      <c r="W127">
        <v>8.9700000000000002E-2</v>
      </c>
    </row>
    <row r="128" spans="22:23" x14ac:dyDescent="0.25">
      <c r="V128" s="67">
        <v>44</v>
      </c>
      <c r="W128">
        <v>7.9899999999999999E-2</v>
      </c>
    </row>
  </sheetData>
  <customSheetViews>
    <customSheetView guid="{4BC1E79B-7364-4615-87D5-9423F10F4E5B}" topLeftCell="B1">
      <selection activeCell="E38" sqref="E38"/>
      <pageMargins left="0.7" right="0.7" top="0.75" bottom="0.75" header="0.3" footer="0.3"/>
      <pageSetup paperSize="9" orientation="portrait" r:id="rId1"/>
    </customSheetView>
    <customSheetView guid="{E61536A5-1B37-499F-8E23-CE5FFEBBA059}">
      <selection activeCell="C20" sqref="C20:D20"/>
      <pageMargins left="0.7" right="0.7" top="0.75" bottom="0.75" header="0.3" footer="0.3"/>
      <pageSetup paperSize="9" orientation="portrait" r:id="rId2"/>
    </customSheetView>
  </customSheetViews>
  <mergeCells count="33">
    <mergeCell ref="B2:B5"/>
    <mergeCell ref="C2:D3"/>
    <mergeCell ref="E2:F2"/>
    <mergeCell ref="E3:F3"/>
    <mergeCell ref="G2:H3"/>
    <mergeCell ref="M2:O3"/>
    <mergeCell ref="C4:C5"/>
    <mergeCell ref="D4:D5"/>
    <mergeCell ref="E4:E5"/>
    <mergeCell ref="F4:F5"/>
    <mergeCell ref="G4:G5"/>
    <mergeCell ref="H4:H5"/>
    <mergeCell ref="N4:O4"/>
    <mergeCell ref="I2:J2"/>
    <mergeCell ref="I3:J3"/>
    <mergeCell ref="L18:L19"/>
    <mergeCell ref="L24:L25"/>
    <mergeCell ref="L27:L28"/>
    <mergeCell ref="B50:B53"/>
    <mergeCell ref="C50:D51"/>
    <mergeCell ref="E50:F50"/>
    <mergeCell ref="E51:F51"/>
    <mergeCell ref="G50:H51"/>
    <mergeCell ref="I50:J50"/>
    <mergeCell ref="I51:J51"/>
    <mergeCell ref="M50:O51"/>
    <mergeCell ref="C52:C53"/>
    <mergeCell ref="D52:D53"/>
    <mergeCell ref="E52:E53"/>
    <mergeCell ref="F52:F53"/>
    <mergeCell ref="G52:G53"/>
    <mergeCell ref="H52:H53"/>
    <mergeCell ref="N52:O52"/>
  </mergeCells>
  <hyperlinks>
    <hyperlink ref="I2" r:id="rId3" tooltip="Copper" display="http://en.wikipedia.org/wiki/Copper"/>
    <hyperlink ref="K2" r:id="rId4" tooltip="National Electrical Code" display="http://en.wikipedia.org/wiki/National_Electrical_Code"/>
    <hyperlink ref="K3" r:id="rId5" tooltip="Ampacity" display="http://en.wikipedia.org/wiki/Ampacity"/>
    <hyperlink ref="K5" r:id="rId6" location="cite_note-7" display="http://en.wikipedia.org/wiki/American_wire_gauge - cite_note-7"/>
    <hyperlink ref="G4" r:id="rId7" tooltip="Circular mil" display="http://en.wikipedia.org/wiki/Circular_mil"/>
    <hyperlink ref="I4" r:id="rId8" tooltip="Ohm (unit)" display="http://en.wikipedia.org/wiki/Ohm_(unit)"/>
    <hyperlink ref="I50" r:id="rId9" tooltip="Copper" display="http://en.wikipedia.org/wiki/Copper"/>
    <hyperlink ref="I51" r:id="rId10" tooltip="Electrical resistance" display="http://en.wikipedia.org/wiki/Electrical_resistance"/>
    <hyperlink ref="K50" r:id="rId11" tooltip="National Electrical Code" display="http://en.wikipedia.org/wiki/National_Electrical_Code"/>
    <hyperlink ref="K51" r:id="rId12" tooltip="Ampacity" display="http://en.wikipedia.org/wiki/Ampacity"/>
    <hyperlink ref="G52" r:id="rId13" tooltip="Circular mil" display="http://en.wikipedia.org/wiki/Circular_mil"/>
    <hyperlink ref="I52" r:id="rId14" tooltip="Ohm (unit)" display="http://en.wikipedia.org/wiki/Ohm_(unit)"/>
  </hyperlinks>
  <pageMargins left="0.7" right="0.7" top="0.75" bottom="0.75" header="0.3" footer="0.3"/>
  <pageSetup paperSize="9" orientation="portrait"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35" sqref="I35"/>
    </sheetView>
  </sheetViews>
  <sheetFormatPr defaultRowHeight="14.25" x14ac:dyDescent="0.2"/>
  <cols>
    <col min="1" max="1" width="9.140625" style="4"/>
    <col min="2" max="2" width="15" style="4" customWidth="1"/>
    <col min="3" max="16384" width="9.140625" style="4"/>
  </cols>
  <sheetData>
    <row r="1" spans="1:5" s="1" customFormat="1" ht="15.75" x14ac:dyDescent="0.25">
      <c r="A1" s="1" t="s">
        <v>370</v>
      </c>
    </row>
    <row r="2" spans="1:5" ht="15" x14ac:dyDescent="0.25">
      <c r="B2" s="88"/>
    </row>
    <row r="3" spans="1:5" ht="15" thickBot="1" x14ac:dyDescent="0.25">
      <c r="B3" s="90" t="s">
        <v>371</v>
      </c>
      <c r="C3" s="90" t="s">
        <v>372</v>
      </c>
      <c r="D3" s="90" t="s">
        <v>373</v>
      </c>
      <c r="E3" s="90" t="s">
        <v>374</v>
      </c>
    </row>
    <row r="4" spans="1:5" ht="15" thickTop="1" x14ac:dyDescent="0.2">
      <c r="B4" s="4">
        <v>50</v>
      </c>
      <c r="C4" s="4">
        <v>0.12</v>
      </c>
      <c r="D4" s="4">
        <v>0</v>
      </c>
      <c r="E4" s="4">
        <v>1.667</v>
      </c>
    </row>
    <row r="5" spans="1:5" x14ac:dyDescent="0.2">
      <c r="B5" s="4">
        <v>400</v>
      </c>
      <c r="C5" s="4">
        <v>2.0139999999999998</v>
      </c>
      <c r="D5" s="4">
        <v>0</v>
      </c>
      <c r="E5" s="4">
        <v>1.81</v>
      </c>
    </row>
    <row r="6" spans="1:5" x14ac:dyDescent="0.2">
      <c r="B6" s="89">
        <v>1000</v>
      </c>
      <c r="C6" s="4">
        <v>7.31</v>
      </c>
      <c r="D6" s="4">
        <v>0</v>
      </c>
      <c r="E6" s="4">
        <v>1.734</v>
      </c>
    </row>
    <row r="7" spans="1:5" x14ac:dyDescent="0.2">
      <c r="B7" s="89">
        <v>2000</v>
      </c>
      <c r="C7" s="4">
        <v>19.446999999999999</v>
      </c>
      <c r="D7" s="4">
        <v>0</v>
      </c>
      <c r="E7" s="4">
        <v>1.7769999999999999</v>
      </c>
    </row>
    <row r="8" spans="1:5" x14ac:dyDescent="0.2">
      <c r="B8" s="89">
        <v>2500</v>
      </c>
      <c r="C8" s="4">
        <v>26.533999999999999</v>
      </c>
      <c r="D8" s="4">
        <v>0</v>
      </c>
      <c r="E8" s="4">
        <v>1.724</v>
      </c>
    </row>
    <row r="9" spans="1:5" x14ac:dyDescent="0.2">
      <c r="B9" s="89">
        <v>3100</v>
      </c>
      <c r="C9" s="4">
        <v>35.802999999999997</v>
      </c>
      <c r="D9" s="4">
        <v>0</v>
      </c>
      <c r="E9" s="4">
        <v>1.679</v>
      </c>
    </row>
    <row r="10" spans="1:5" x14ac:dyDescent="0.2">
      <c r="B10" s="89">
        <v>4000</v>
      </c>
      <c r="C10" s="4">
        <v>52.918999999999997</v>
      </c>
      <c r="D10" s="4">
        <v>0</v>
      </c>
      <c r="E10" s="4">
        <v>1.6419999999999999</v>
      </c>
    </row>
    <row r="11" spans="1:5" x14ac:dyDescent="0.2">
      <c r="B11" s="89">
        <v>5000</v>
      </c>
      <c r="C11" s="4">
        <v>72.932000000000002</v>
      </c>
      <c r="D11" s="4">
        <v>0</v>
      </c>
      <c r="E11" s="4">
        <v>1.6459999999999999</v>
      </c>
    </row>
    <row r="12" spans="1:5" x14ac:dyDescent="0.2">
      <c r="B12" s="89">
        <v>8000</v>
      </c>
      <c r="C12" s="4">
        <v>149.59200000000001</v>
      </c>
      <c r="D12" s="4">
        <v>0</v>
      </c>
      <c r="E12" s="4">
        <v>1.655</v>
      </c>
    </row>
  </sheetData>
  <customSheetViews>
    <customSheetView guid="{4BC1E79B-7364-4615-87D5-9423F10F4E5B}">
      <selection activeCell="I35" sqref="I35"/>
      <pageMargins left="0.7" right="0.7" top="0.75" bottom="0.75" header="0.3" footer="0.3"/>
      <pageSetup paperSize="9" orientation="portrait" r:id="rId1"/>
    </customSheetView>
  </customSheetView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71</vt:i4>
      </vt:variant>
    </vt:vector>
  </HeadingPairs>
  <TitlesOfParts>
    <vt:vector size="75" baseType="lpstr">
      <vt:lpstr>Design Process </vt:lpstr>
      <vt:lpstr>Calculation sheet</vt:lpstr>
      <vt:lpstr>AWG table</vt:lpstr>
      <vt:lpstr>Steinmetz factor</vt:lpstr>
      <vt:lpstr>a_3p</vt:lpstr>
      <vt:lpstr>Ac_3p</vt:lpstr>
      <vt:lpstr>Acp_3p</vt:lpstr>
      <vt:lpstr>Acs_3p</vt:lpstr>
      <vt:lpstr>Acup_3p</vt:lpstr>
      <vt:lpstr>Acus_3p</vt:lpstr>
      <vt:lpstr>alpha</vt:lpstr>
      <vt:lpstr>AWG_p</vt:lpstr>
      <vt:lpstr>AWGp_3p</vt:lpstr>
      <vt:lpstr>AWGs_3p</vt:lpstr>
      <vt:lpstr>beta</vt:lpstr>
      <vt:lpstr>Bm</vt:lpstr>
      <vt:lpstr>d</vt:lpstr>
      <vt:lpstr>d_3p</vt:lpstr>
      <vt:lpstr>d_a</vt:lpstr>
      <vt:lpstr>d_cs_3p</vt:lpstr>
      <vt:lpstr>d_pri_3p</vt:lpstr>
      <vt:lpstr>d_sec_3p</vt:lpstr>
      <vt:lpstr>dcp_3p</vt:lpstr>
      <vt:lpstr>Dskin_3p</vt:lpstr>
      <vt:lpstr>eff</vt:lpstr>
      <vt:lpstr>f</vt:lpstr>
      <vt:lpstr>fsw</vt:lpstr>
      <vt:lpstr>gcm3_core</vt:lpstr>
      <vt:lpstr>h_3p</vt:lpstr>
      <vt:lpstr>IpL_3p</vt:lpstr>
      <vt:lpstr>Ipp_3p</vt:lpstr>
      <vt:lpstr>IsL_3p</vt:lpstr>
      <vt:lpstr>Isp_3p</vt:lpstr>
      <vt:lpstr>Jp_3p</vt:lpstr>
      <vt:lpstr>Js</vt:lpstr>
      <vt:lpstr>Js_3p</vt:lpstr>
      <vt:lpstr>k</vt:lpstr>
      <vt:lpstr>kf</vt:lpstr>
      <vt:lpstr>KgCore_3p</vt:lpstr>
      <vt:lpstr>ku</vt:lpstr>
      <vt:lpstr>L</vt:lpstr>
      <vt:lpstr>MLTp_3p</vt:lpstr>
      <vt:lpstr>MLTs_3p</vt:lpstr>
      <vt:lpstr>n</vt:lpstr>
      <vt:lpstr>N1_T</vt:lpstr>
      <vt:lpstr>N2_T</vt:lpstr>
      <vt:lpstr>NEWAcp_3p</vt:lpstr>
      <vt:lpstr>NEWAcs_3p</vt:lpstr>
      <vt:lpstr>NewJp_3p</vt:lpstr>
      <vt:lpstr>NEWJs_3s</vt:lpstr>
      <vt:lpstr>Pcore_3p</vt:lpstr>
      <vt:lpstr>Pcu_3p</vt:lpstr>
      <vt:lpstr>Pcu_p_3p</vt:lpstr>
      <vt:lpstr>Pcu_s_3p</vt:lpstr>
      <vt:lpstr>Pfeo_3p</vt:lpstr>
      <vt:lpstr>pi</vt:lpstr>
      <vt:lpstr>Pin</vt:lpstr>
      <vt:lpstr>Rcu_p</vt:lpstr>
      <vt:lpstr>Rcu_s</vt:lpstr>
      <vt:lpstr>Rp_3p</vt:lpstr>
      <vt:lpstr>Rp_ac</vt:lpstr>
      <vt:lpstr>Rs_3p</vt:lpstr>
      <vt:lpstr>Rs_ac</vt:lpstr>
      <vt:lpstr>ST_3p</vt:lpstr>
      <vt:lpstr>theta</vt:lpstr>
      <vt:lpstr>TLwp_3p</vt:lpstr>
      <vt:lpstr>TLws_3p</vt:lpstr>
      <vt:lpstr>Total_Acu_3p</vt:lpstr>
      <vt:lpstr>Vin_dc</vt:lpstr>
      <vt:lpstr>Vol</vt:lpstr>
      <vt:lpstr>Vout_dc</vt:lpstr>
      <vt:lpstr>Vpn_3p</vt:lpstr>
      <vt:lpstr>w_3p</vt:lpstr>
      <vt:lpstr>w_a</vt:lpstr>
      <vt:lpstr>Wa_3p</vt:lpstr>
    </vt:vector>
  </TitlesOfParts>
  <Company>University Of Nottingham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Youngsil</dc:creator>
  <cp:lastModifiedBy>Lee Youngsil</cp:lastModifiedBy>
  <cp:lastPrinted>2015-03-10T17:34:55Z</cp:lastPrinted>
  <dcterms:created xsi:type="dcterms:W3CDTF">2015-02-09T16:36:35Z</dcterms:created>
  <dcterms:modified xsi:type="dcterms:W3CDTF">2015-03-11T15:15:25Z</dcterms:modified>
</cp:coreProperties>
</file>