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7010" yWindow="0" windowWidth="19920" windowHeight="11760"/>
  </bookViews>
  <sheets>
    <sheet name="Formats" sheetId="10" r:id="rId1"/>
    <sheet name="Assumptions" sheetId="11" r:id="rId2"/>
    <sheet name="Solution" sheetId="5" r:id="rId3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" i="5" l="1"/>
  <c r="B126" i="5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F73" i="5"/>
  <c r="E107" i="5"/>
  <c r="F108" i="5"/>
  <c r="F107" i="5"/>
  <c r="F102" i="5"/>
  <c r="F101" i="5"/>
  <c r="O101" i="5" s="1"/>
  <c r="F83" i="5"/>
  <c r="M83" i="5" s="1"/>
  <c r="F82" i="5"/>
  <c r="P82" i="5" s="1"/>
  <c r="P62" i="5" s="1"/>
  <c r="F36" i="5"/>
  <c r="F35" i="5"/>
  <c r="M36" i="5"/>
  <c r="M92" i="5" s="1"/>
  <c r="M34" i="5"/>
  <c r="M35" i="5"/>
  <c r="M91" i="5" s="1"/>
  <c r="F41" i="5"/>
  <c r="E41" i="5"/>
  <c r="J48" i="11"/>
  <c r="M48" i="5"/>
  <c r="M63" i="5" s="1"/>
  <c r="F14" i="5"/>
  <c r="E14" i="5"/>
  <c r="F17" i="5"/>
  <c r="F16" i="5"/>
  <c r="N17" i="5"/>
  <c r="N14" i="5"/>
  <c r="M106" i="5"/>
  <c r="M100" i="5"/>
  <c r="F86" i="5"/>
  <c r="M81" i="5"/>
  <c r="M49" i="5"/>
  <c r="M58" i="5"/>
  <c r="M57" i="5"/>
  <c r="M71" i="5"/>
  <c r="N16" i="5" l="1"/>
  <c r="N41" i="5" s="1"/>
  <c r="V82" i="5"/>
  <c r="V62" i="5" s="1"/>
  <c r="N101" i="5"/>
  <c r="M108" i="5"/>
  <c r="M41" i="5"/>
  <c r="M93" i="5" s="1"/>
  <c r="W82" i="5"/>
  <c r="W62" i="5" s="1"/>
  <c r="M102" i="5"/>
  <c r="O82" i="5"/>
  <c r="O62" i="5" s="1"/>
  <c r="N82" i="5"/>
  <c r="N62" i="5" s="1"/>
  <c r="O17" i="5"/>
  <c r="P17" i="5" s="1"/>
  <c r="Q17" i="5" s="1"/>
  <c r="R17" i="5" s="1"/>
  <c r="S17" i="5" s="1"/>
  <c r="T17" i="5" s="1"/>
  <c r="R82" i="5"/>
  <c r="R62" i="5" s="1"/>
  <c r="M59" i="5"/>
  <c r="N107" i="5"/>
  <c r="R101" i="5"/>
  <c r="M115" i="5"/>
  <c r="S82" i="5"/>
  <c r="S62" i="5" s="1"/>
  <c r="V101" i="5"/>
  <c r="O14" i="5"/>
  <c r="O16" i="5" s="1"/>
  <c r="U101" i="5"/>
  <c r="Q101" i="5"/>
  <c r="M101" i="5"/>
  <c r="T107" i="5"/>
  <c r="P107" i="5"/>
  <c r="N35" i="5"/>
  <c r="U107" i="5"/>
  <c r="Q107" i="5"/>
  <c r="M107" i="5"/>
  <c r="U82" i="5"/>
  <c r="U62" i="5" s="1"/>
  <c r="Q82" i="5"/>
  <c r="Q62" i="5" s="1"/>
  <c r="M82" i="5"/>
  <c r="T101" i="5"/>
  <c r="P101" i="5"/>
  <c r="W107" i="5"/>
  <c r="S107" i="5"/>
  <c r="O107" i="5"/>
  <c r="O61" i="5" s="1"/>
  <c r="T82" i="5"/>
  <c r="T62" i="5" s="1"/>
  <c r="W101" i="5"/>
  <c r="S101" i="5"/>
  <c r="V107" i="5"/>
  <c r="R107" i="5"/>
  <c r="M94" i="5"/>
  <c r="M86" i="5"/>
  <c r="R61" i="5" l="1"/>
  <c r="N36" i="5"/>
  <c r="V61" i="5"/>
  <c r="M103" i="5"/>
  <c r="N100" i="5" s="1"/>
  <c r="N102" i="5" s="1"/>
  <c r="T61" i="5"/>
  <c r="N61" i="5"/>
  <c r="N93" i="5"/>
  <c r="N19" i="5"/>
  <c r="N57" i="5" s="1"/>
  <c r="W61" i="5"/>
  <c r="J101" i="5"/>
  <c r="U17" i="5"/>
  <c r="V17" i="5" s="1"/>
  <c r="W17" i="5" s="1"/>
  <c r="M62" i="5"/>
  <c r="J62" i="5" s="1"/>
  <c r="J82" i="5"/>
  <c r="M109" i="5"/>
  <c r="N106" i="5" s="1"/>
  <c r="J107" i="5"/>
  <c r="U61" i="5"/>
  <c r="P14" i="5"/>
  <c r="F125" i="5" s="1"/>
  <c r="D125" i="5" s="1"/>
  <c r="O35" i="5"/>
  <c r="O91" i="5" s="1"/>
  <c r="N92" i="5"/>
  <c r="O19" i="5"/>
  <c r="O41" i="5"/>
  <c r="O93" i="5" s="1"/>
  <c r="O36" i="5"/>
  <c r="P61" i="5"/>
  <c r="M61" i="5"/>
  <c r="S61" i="5"/>
  <c r="N91" i="5"/>
  <c r="Q61" i="5"/>
  <c r="M60" i="5"/>
  <c r="M84" i="5"/>
  <c r="O92" i="5" l="1"/>
  <c r="N94" i="5"/>
  <c r="N60" i="5" s="1"/>
  <c r="J17" i="5"/>
  <c r="M37" i="5"/>
  <c r="J61" i="5"/>
  <c r="O57" i="5"/>
  <c r="N108" i="5"/>
  <c r="N103" i="5"/>
  <c r="O100" i="5" s="1"/>
  <c r="Q14" i="5"/>
  <c r="P35" i="5"/>
  <c r="P91" i="5" s="1"/>
  <c r="P16" i="5"/>
  <c r="M64" i="5"/>
  <c r="N81" i="5"/>
  <c r="N83" i="5" s="1"/>
  <c r="M42" i="5"/>
  <c r="O94" i="5"/>
  <c r="N109" i="5" l="1"/>
  <c r="O106" i="5" s="1"/>
  <c r="N59" i="5"/>
  <c r="M72" i="5"/>
  <c r="P19" i="5"/>
  <c r="O108" i="5"/>
  <c r="O109" i="5" s="1"/>
  <c r="P106" i="5" s="1"/>
  <c r="N21" i="5"/>
  <c r="O102" i="5"/>
  <c r="O103" i="5" s="1"/>
  <c r="P100" i="5" s="1"/>
  <c r="P36" i="5"/>
  <c r="P92" i="5" s="1"/>
  <c r="P41" i="5"/>
  <c r="P93" i="5" s="1"/>
  <c r="R14" i="5"/>
  <c r="Q35" i="5"/>
  <c r="Q16" i="5"/>
  <c r="N84" i="5"/>
  <c r="N86" i="5"/>
  <c r="N22" i="5" s="1"/>
  <c r="O60" i="5"/>
  <c r="P94" i="5" l="1"/>
  <c r="P60" i="5" s="1"/>
  <c r="N37" i="5"/>
  <c r="P57" i="5"/>
  <c r="N24" i="5"/>
  <c r="M73" i="5"/>
  <c r="O21" i="5"/>
  <c r="P108" i="5"/>
  <c r="P102" i="5"/>
  <c r="P103" i="5" s="1"/>
  <c r="Q100" i="5" s="1"/>
  <c r="O37" i="5"/>
  <c r="Q19" i="5"/>
  <c r="Q36" i="5"/>
  <c r="Q92" i="5" s="1"/>
  <c r="Q41" i="5"/>
  <c r="Q91" i="5"/>
  <c r="S14" i="5"/>
  <c r="R35" i="5"/>
  <c r="R16" i="5"/>
  <c r="N58" i="5"/>
  <c r="O81" i="5"/>
  <c r="O83" i="5" s="1"/>
  <c r="N42" i="5"/>
  <c r="Q93" i="5" l="1"/>
  <c r="Q94" i="5" s="1"/>
  <c r="Q60" i="5" s="1"/>
  <c r="F133" i="5"/>
  <c r="D133" i="5" s="1"/>
  <c r="M66" i="5"/>
  <c r="P109" i="5"/>
  <c r="P37" i="5" s="1"/>
  <c r="O59" i="5"/>
  <c r="Q57" i="5"/>
  <c r="M74" i="5"/>
  <c r="Q106" i="5"/>
  <c r="P21" i="5"/>
  <c r="Q102" i="5"/>
  <c r="T14" i="5"/>
  <c r="F128" i="5" s="1"/>
  <c r="D128" i="5" s="1"/>
  <c r="S35" i="5"/>
  <c r="S91" i="5" s="1"/>
  <c r="S16" i="5"/>
  <c r="S19" i="5" s="1"/>
  <c r="R91" i="5"/>
  <c r="R41" i="5"/>
  <c r="R93" i="5" s="1"/>
  <c r="R36" i="5"/>
  <c r="F131" i="5" s="1"/>
  <c r="D131" i="5" s="1"/>
  <c r="R19" i="5"/>
  <c r="O84" i="5"/>
  <c r="O86" i="5"/>
  <c r="O22" i="5" s="1"/>
  <c r="O24" i="5" s="1"/>
  <c r="R57" i="5" l="1"/>
  <c r="S57" i="5"/>
  <c r="O58" i="5"/>
  <c r="M76" i="5"/>
  <c r="N71" i="5"/>
  <c r="M116" i="5"/>
  <c r="M67" i="5"/>
  <c r="Q108" i="5"/>
  <c r="Q109" i="5" s="1"/>
  <c r="R106" i="5" s="1"/>
  <c r="Q103" i="5"/>
  <c r="S41" i="5"/>
  <c r="S93" i="5" s="1"/>
  <c r="S36" i="5"/>
  <c r="S92" i="5" s="1"/>
  <c r="R92" i="5"/>
  <c r="R94" i="5" s="1"/>
  <c r="R60" i="5" s="1"/>
  <c r="U14" i="5"/>
  <c r="T35" i="5"/>
  <c r="T91" i="5" s="1"/>
  <c r="T16" i="5"/>
  <c r="T19" i="5" s="1"/>
  <c r="P81" i="5"/>
  <c r="P83" i="5" s="1"/>
  <c r="O42" i="5"/>
  <c r="S94" i="5" l="1"/>
  <c r="S60" i="5" s="1"/>
  <c r="T57" i="5"/>
  <c r="Q21" i="5"/>
  <c r="M117" i="5"/>
  <c r="P59" i="5"/>
  <c r="R108" i="5"/>
  <c r="R109" i="5" s="1"/>
  <c r="S106" i="5" s="1"/>
  <c r="R100" i="5"/>
  <c r="Q37" i="5"/>
  <c r="V14" i="5"/>
  <c r="F126" i="5" s="1"/>
  <c r="D126" i="5" s="1"/>
  <c r="U35" i="5"/>
  <c r="U16" i="5"/>
  <c r="T41" i="5"/>
  <c r="T93" i="5" s="1"/>
  <c r="T36" i="5"/>
  <c r="T92" i="5" s="1"/>
  <c r="P84" i="5"/>
  <c r="P86" i="5"/>
  <c r="P22" i="5" s="1"/>
  <c r="P58" i="5" l="1"/>
  <c r="P24" i="5"/>
  <c r="T94" i="5"/>
  <c r="S108" i="5"/>
  <c r="S109" i="5" s="1"/>
  <c r="T106" i="5" s="1"/>
  <c r="R102" i="5"/>
  <c r="R21" i="5" s="1"/>
  <c r="U91" i="5"/>
  <c r="U36" i="5"/>
  <c r="U92" i="5" s="1"/>
  <c r="U41" i="5"/>
  <c r="U93" i="5" s="1"/>
  <c r="W14" i="5"/>
  <c r="J14" i="5" s="1"/>
  <c r="V35" i="5"/>
  <c r="V16" i="5"/>
  <c r="V19" i="5" s="1"/>
  <c r="U19" i="5"/>
  <c r="Q81" i="5"/>
  <c r="Q83" i="5" s="1"/>
  <c r="Q59" i="5" s="1"/>
  <c r="P42" i="5"/>
  <c r="T60" i="5"/>
  <c r="U94" i="5" l="1"/>
  <c r="U60" i="5" s="1"/>
  <c r="U57" i="5"/>
  <c r="V57" i="5"/>
  <c r="T108" i="5"/>
  <c r="T109" i="5" s="1"/>
  <c r="U106" i="5" s="1"/>
  <c r="R103" i="5"/>
  <c r="W35" i="5"/>
  <c r="W16" i="5"/>
  <c r="J16" i="5" s="1"/>
  <c r="F127" i="5" s="1"/>
  <c r="D127" i="5" s="1"/>
  <c r="W91" i="5"/>
  <c r="V91" i="5"/>
  <c r="V41" i="5"/>
  <c r="V93" i="5" s="1"/>
  <c r="V36" i="5"/>
  <c r="Q84" i="5"/>
  <c r="Q86" i="5"/>
  <c r="Q22" i="5" s="1"/>
  <c r="Q58" i="5" l="1"/>
  <c r="Q24" i="5"/>
  <c r="U108" i="5"/>
  <c r="U109" i="5" s="1"/>
  <c r="V106" i="5" s="1"/>
  <c r="S100" i="5"/>
  <c r="R37" i="5"/>
  <c r="V92" i="5"/>
  <c r="V94" i="5" s="1"/>
  <c r="V60" i="5" s="1"/>
  <c r="W19" i="5"/>
  <c r="W41" i="5"/>
  <c r="W93" i="5" s="1"/>
  <c r="W36" i="5"/>
  <c r="W92" i="5" s="1"/>
  <c r="R81" i="5"/>
  <c r="R83" i="5" s="1"/>
  <c r="R59" i="5" s="1"/>
  <c r="Q42" i="5"/>
  <c r="W94" i="5" l="1"/>
  <c r="W60" i="5" s="1"/>
  <c r="J60" i="5" s="1"/>
  <c r="W57" i="5"/>
  <c r="J57" i="5" s="1"/>
  <c r="J19" i="5"/>
  <c r="V108" i="5"/>
  <c r="V109" i="5" s="1"/>
  <c r="W106" i="5" s="1"/>
  <c r="S102" i="5"/>
  <c r="S21" i="5" s="1"/>
  <c r="R84" i="5"/>
  <c r="R86" i="5"/>
  <c r="R22" i="5" s="1"/>
  <c r="R58" i="5" l="1"/>
  <c r="R24" i="5"/>
  <c r="W108" i="5"/>
  <c r="S103" i="5"/>
  <c r="S81" i="5"/>
  <c r="S83" i="5" s="1"/>
  <c r="S59" i="5" s="1"/>
  <c r="R42" i="5"/>
  <c r="W109" i="5" l="1"/>
  <c r="J108" i="5"/>
  <c r="J109" i="5" s="1"/>
  <c r="T100" i="5"/>
  <c r="S37" i="5"/>
  <c r="S84" i="5"/>
  <c r="S86" i="5"/>
  <c r="S22" i="5" s="1"/>
  <c r="S58" i="5" l="1"/>
  <c r="S24" i="5"/>
  <c r="T102" i="5"/>
  <c r="T21" i="5" s="1"/>
  <c r="T81" i="5"/>
  <c r="T83" i="5" s="1"/>
  <c r="T59" i="5" s="1"/>
  <c r="S42" i="5"/>
  <c r="T103" i="5" l="1"/>
  <c r="U100" i="5" s="1"/>
  <c r="T84" i="5"/>
  <c r="T86" i="5"/>
  <c r="T22" i="5" s="1"/>
  <c r="T58" i="5" s="1"/>
  <c r="T37" i="5" l="1"/>
  <c r="F130" i="5" s="1"/>
  <c r="D130" i="5" s="1"/>
  <c r="T24" i="5"/>
  <c r="U102" i="5"/>
  <c r="U21" i="5" s="1"/>
  <c r="U81" i="5"/>
  <c r="U83" i="5" s="1"/>
  <c r="U59" i="5" s="1"/>
  <c r="T42" i="5"/>
  <c r="U103" i="5" l="1"/>
  <c r="V100" i="5" s="1"/>
  <c r="U84" i="5"/>
  <c r="U86" i="5"/>
  <c r="U22" i="5" s="1"/>
  <c r="U58" i="5" s="1"/>
  <c r="U37" i="5" l="1"/>
  <c r="U24" i="5"/>
  <c r="V102" i="5"/>
  <c r="V21" i="5" s="1"/>
  <c r="V81" i="5"/>
  <c r="V83" i="5" s="1"/>
  <c r="V59" i="5" s="1"/>
  <c r="U42" i="5"/>
  <c r="V103" i="5" l="1"/>
  <c r="W100" i="5" s="1"/>
  <c r="V84" i="5"/>
  <c r="V86" i="5"/>
  <c r="V22" i="5" s="1"/>
  <c r="V58" i="5" s="1"/>
  <c r="V37" i="5" l="1"/>
  <c r="V24" i="5"/>
  <c r="F134" i="5" s="1"/>
  <c r="D134" i="5" s="1"/>
  <c r="W102" i="5"/>
  <c r="W81" i="5"/>
  <c r="W83" i="5" s="1"/>
  <c r="V42" i="5"/>
  <c r="W21" i="5" l="1"/>
  <c r="J102" i="5"/>
  <c r="J103" i="5" s="1"/>
  <c r="W59" i="5"/>
  <c r="J59" i="5" s="1"/>
  <c r="J83" i="5"/>
  <c r="J84" i="5" s="1"/>
  <c r="W103" i="5"/>
  <c r="W37" i="5" s="1"/>
  <c r="W84" i="5"/>
  <c r="W42" i="5" s="1"/>
  <c r="W86" i="5"/>
  <c r="W22" i="5" s="1"/>
  <c r="W58" i="5" l="1"/>
  <c r="J22" i="5"/>
  <c r="W24" i="5"/>
  <c r="J24" i="5" s="1"/>
  <c r="J21" i="5"/>
  <c r="J58" i="5" l="1"/>
  <c r="F129" i="5" s="1"/>
  <c r="D129" i="5" s="1"/>
  <c r="M50" i="5" l="1"/>
  <c r="M43" i="5"/>
  <c r="N43" i="5"/>
  <c r="O43" i="5"/>
  <c r="P43" i="5"/>
  <c r="Q43" i="5"/>
  <c r="R43" i="5"/>
  <c r="S43" i="5"/>
  <c r="T43" i="5"/>
  <c r="U43" i="5"/>
  <c r="V43" i="5"/>
  <c r="W43" i="5"/>
  <c r="M38" i="5"/>
  <c r="N8" i="5"/>
  <c r="O8" i="5" s="1"/>
  <c r="P8" i="5" s="1"/>
  <c r="Q8" i="5" s="1"/>
  <c r="R8" i="5" s="1"/>
  <c r="S8" i="5" s="1"/>
  <c r="T8" i="5" s="1"/>
  <c r="U8" i="5" s="1"/>
  <c r="V8" i="5" s="1"/>
  <c r="W8" i="5" s="1"/>
  <c r="J49" i="11"/>
  <c r="J58" i="11"/>
  <c r="A11" i="11"/>
  <c r="N6" i="5"/>
  <c r="N7" i="5"/>
  <c r="O7" i="5" s="1"/>
  <c r="P7" i="5" s="1"/>
  <c r="Q7" i="5" s="1"/>
  <c r="R7" i="5" s="1"/>
  <c r="S7" i="5" s="1"/>
  <c r="T7" i="5" s="1"/>
  <c r="U7" i="5" s="1"/>
  <c r="V7" i="5" s="1"/>
  <c r="W7" i="5" s="1"/>
  <c r="N48" i="5" l="1"/>
  <c r="M45" i="5"/>
  <c r="M52" i="5" s="1"/>
  <c r="U6" i="5"/>
  <c r="Q6" i="5"/>
  <c r="P6" i="5"/>
  <c r="V6" i="5"/>
  <c r="R6" i="5"/>
  <c r="T6" i="5"/>
  <c r="W6" i="5"/>
  <c r="S6" i="5"/>
  <c r="O6" i="5"/>
  <c r="O48" i="5" l="1"/>
  <c r="N63" i="5"/>
  <c r="A11" i="5"/>
  <c r="N115" i="5" l="1"/>
  <c r="N64" i="5"/>
  <c r="O63" i="5"/>
  <c r="P48" i="5"/>
  <c r="A31" i="5"/>
  <c r="A54" i="5" s="1"/>
  <c r="A78" i="5" s="1"/>
  <c r="O115" i="5" l="1"/>
  <c r="O64" i="5"/>
  <c r="N72" i="5"/>
  <c r="P63" i="5"/>
  <c r="Q48" i="5"/>
  <c r="A89" i="5"/>
  <c r="A97" i="5"/>
  <c r="Q63" i="5" l="1"/>
  <c r="R48" i="5"/>
  <c r="N73" i="5"/>
  <c r="N74" i="5" s="1"/>
  <c r="P115" i="5"/>
  <c r="P64" i="5"/>
  <c r="O72" i="5"/>
  <c r="A112" i="5"/>
  <c r="A122" i="5" s="1"/>
  <c r="O71" i="5" l="1"/>
  <c r="N34" i="5"/>
  <c r="N38" i="5" s="1"/>
  <c r="N45" i="5" s="1"/>
  <c r="P72" i="5"/>
  <c r="R63" i="5"/>
  <c r="S48" i="5"/>
  <c r="N26" i="5"/>
  <c r="N66" i="5"/>
  <c r="Q115" i="5"/>
  <c r="Q64" i="5"/>
  <c r="Q72" i="5" l="1"/>
  <c r="F135" i="5"/>
  <c r="D135" i="5" s="1"/>
  <c r="O73" i="5"/>
  <c r="O74" i="5" s="1"/>
  <c r="N116" i="5"/>
  <c r="N67" i="5"/>
  <c r="R115" i="5"/>
  <c r="R64" i="5"/>
  <c r="N28" i="5"/>
  <c r="S63" i="5"/>
  <c r="T48" i="5"/>
  <c r="O66" i="5" l="1"/>
  <c r="O26" i="5"/>
  <c r="N49" i="5"/>
  <c r="N50" i="5" s="1"/>
  <c r="N52" i="5" s="1"/>
  <c r="T63" i="5"/>
  <c r="U48" i="5"/>
  <c r="R72" i="5"/>
  <c r="N117" i="5"/>
  <c r="S115" i="5"/>
  <c r="S64" i="5"/>
  <c r="O34" i="5"/>
  <c r="O38" i="5" s="1"/>
  <c r="O45" i="5" s="1"/>
  <c r="P71" i="5"/>
  <c r="P73" i="5" s="1"/>
  <c r="S72" i="5" l="1"/>
  <c r="T115" i="5"/>
  <c r="T64" i="5"/>
  <c r="O28" i="5"/>
  <c r="O116" i="5"/>
  <c r="O67" i="5"/>
  <c r="P74" i="5"/>
  <c r="P26" i="5"/>
  <c r="P28" i="5" s="1"/>
  <c r="P66" i="5"/>
  <c r="U63" i="5"/>
  <c r="V48" i="5"/>
  <c r="P116" i="5" l="1"/>
  <c r="P117" i="5" s="1"/>
  <c r="P67" i="5"/>
  <c r="T72" i="5"/>
  <c r="V63" i="5"/>
  <c r="W48" i="5"/>
  <c r="O117" i="5"/>
  <c r="Q71" i="5"/>
  <c r="P34" i="5"/>
  <c r="P38" i="5" s="1"/>
  <c r="P45" i="5" s="1"/>
  <c r="U115" i="5"/>
  <c r="U64" i="5"/>
  <c r="O49" i="5"/>
  <c r="O50" i="5" s="1"/>
  <c r="O52" i="5" s="1"/>
  <c r="P49" i="5" l="1"/>
  <c r="P50" i="5" s="1"/>
  <c r="P52" i="5" s="1"/>
  <c r="U72" i="5"/>
  <c r="Q73" i="5"/>
  <c r="Q74" i="5" s="1"/>
  <c r="W63" i="5"/>
  <c r="V115" i="5"/>
  <c r="V64" i="5"/>
  <c r="R71" i="5" l="1"/>
  <c r="Q34" i="5"/>
  <c r="Q38" i="5" s="1"/>
  <c r="Q45" i="5" s="1"/>
  <c r="W115" i="5"/>
  <c r="J115" i="5" s="1"/>
  <c r="W64" i="5"/>
  <c r="J63" i="5"/>
  <c r="V72" i="5"/>
  <c r="Q66" i="5"/>
  <c r="Q26" i="5"/>
  <c r="Q28" i="5" l="1"/>
  <c r="Q116" i="5"/>
  <c r="Q67" i="5"/>
  <c r="W72" i="5"/>
  <c r="J72" i="5" s="1"/>
  <c r="J64" i="5"/>
  <c r="R73" i="5"/>
  <c r="R74" i="5" s="1"/>
  <c r="R34" i="5" l="1"/>
  <c r="R38" i="5" s="1"/>
  <c r="R45" i="5" s="1"/>
  <c r="S71" i="5"/>
  <c r="S73" i="5" s="1"/>
  <c r="Q117" i="5"/>
  <c r="R26" i="5"/>
  <c r="R66" i="5"/>
  <c r="Q49" i="5"/>
  <c r="Q50" i="5" s="1"/>
  <c r="Q52" i="5" s="1"/>
  <c r="R116" i="5" l="1"/>
  <c r="R67" i="5"/>
  <c r="S74" i="5"/>
  <c r="S66" i="5"/>
  <c r="S26" i="5"/>
  <c r="S28" i="5" s="1"/>
  <c r="R28" i="5"/>
  <c r="S116" i="5" l="1"/>
  <c r="S117" i="5" s="1"/>
  <c r="S67" i="5"/>
  <c r="T71" i="5"/>
  <c r="T73" i="5" s="1"/>
  <c r="S34" i="5"/>
  <c r="S38" i="5" s="1"/>
  <c r="R49" i="5"/>
  <c r="R50" i="5" s="1"/>
  <c r="R52" i="5" s="1"/>
  <c r="R117" i="5"/>
  <c r="S49" i="5" l="1"/>
  <c r="S50" i="5" s="1"/>
  <c r="F132" i="5"/>
  <c r="D132" i="5" s="1"/>
  <c r="S45" i="5"/>
  <c r="T74" i="5"/>
  <c r="T26" i="5"/>
  <c r="T28" i="5" s="1"/>
  <c r="T66" i="5"/>
  <c r="S52" i="5" l="1"/>
  <c r="T49" i="5"/>
  <c r="T50" i="5" s="1"/>
  <c r="T34" i="5"/>
  <c r="T38" i="5" s="1"/>
  <c r="T45" i="5" s="1"/>
  <c r="U71" i="5"/>
  <c r="U73" i="5" s="1"/>
  <c r="T116" i="5"/>
  <c r="T117" i="5" s="1"/>
  <c r="T67" i="5"/>
  <c r="T52" i="5" l="1"/>
  <c r="U74" i="5"/>
  <c r="U66" i="5"/>
  <c r="U26" i="5"/>
  <c r="U28" i="5" s="1"/>
  <c r="U49" i="5" s="1"/>
  <c r="U50" i="5" s="1"/>
  <c r="V71" i="5" l="1"/>
  <c r="V73" i="5" s="1"/>
  <c r="U34" i="5"/>
  <c r="U38" i="5" s="1"/>
  <c r="U45" i="5" s="1"/>
  <c r="U52" i="5" s="1"/>
  <c r="U116" i="5"/>
  <c r="U117" i="5" s="1"/>
  <c r="U67" i="5"/>
  <c r="V74" i="5" l="1"/>
  <c r="V26" i="5"/>
  <c r="V28" i="5" s="1"/>
  <c r="V49" i="5" s="1"/>
  <c r="V50" i="5" s="1"/>
  <c r="V66" i="5"/>
  <c r="V116" i="5" l="1"/>
  <c r="V117" i="5" s="1"/>
  <c r="V67" i="5"/>
  <c r="V34" i="5"/>
  <c r="V38" i="5" s="1"/>
  <c r="V45" i="5" s="1"/>
  <c r="V52" i="5" s="1"/>
  <c r="W71" i="5"/>
  <c r="W73" i="5" l="1"/>
  <c r="W74" i="5" s="1"/>
  <c r="W34" i="5" s="1"/>
  <c r="W38" i="5" s="1"/>
  <c r="W45" i="5" s="1"/>
  <c r="W66" i="5" l="1"/>
  <c r="W26" i="5"/>
  <c r="J73" i="5"/>
  <c r="J74" i="5" s="1"/>
  <c r="W28" i="5" l="1"/>
  <c r="J26" i="5"/>
  <c r="W116" i="5"/>
  <c r="W67" i="5"/>
  <c r="J67" i="5" s="1"/>
  <c r="J66" i="5"/>
  <c r="W117" i="5" l="1"/>
  <c r="J116" i="5"/>
  <c r="F136" i="5" s="1"/>
  <c r="D136" i="5" s="1"/>
  <c r="W49" i="5"/>
  <c r="W50" i="5" s="1"/>
  <c r="J28" i="5"/>
  <c r="F137" i="5" l="1"/>
  <c r="D137" i="5" s="1"/>
  <c r="W52" i="5"/>
  <c r="J119" i="5"/>
  <c r="J117" i="5"/>
  <c r="F138" i="5" l="1"/>
  <c r="D138" i="5" s="1"/>
  <c r="I139" i="5"/>
</calcChain>
</file>

<file path=xl/comments1.xml><?xml version="1.0" encoding="utf-8"?>
<comments xmlns="http://schemas.openxmlformats.org/spreadsheetml/2006/main">
  <authors>
    <author>Dan Mayoh</author>
  </authors>
  <commentList>
    <comment ref="F139" authorId="0">
      <text>
        <r>
          <rPr>
            <b/>
            <sz val="9"/>
            <color indexed="81"/>
            <rFont val="Tahoma"/>
            <family val="2"/>
          </rPr>
          <t>Dan Mayoh:</t>
        </r>
        <r>
          <rPr>
            <sz val="9"/>
            <color indexed="81"/>
            <rFont val="Tahoma"/>
            <family val="2"/>
          </rPr>
          <t xml:space="preserve">
To solve this, simply change Growth A sales assumption to a very large number (e.g. $100m), and then goal seek the 'Difference' cell to be zero by changing Growth B sales.
Answer should be 8.63%
</t>
        </r>
      </text>
    </comment>
  </commentList>
</comments>
</file>

<file path=xl/sharedStrings.xml><?xml version="1.0" encoding="utf-8"?>
<sst xmlns="http://schemas.openxmlformats.org/spreadsheetml/2006/main" count="260" uniqueCount="138">
  <si>
    <t>Units</t>
  </si>
  <si>
    <t>Sum</t>
  </si>
  <si>
    <t>End Sheet</t>
  </si>
  <si>
    <t>[%]</t>
  </si>
  <si>
    <t>Assets</t>
  </si>
  <si>
    <t>Inventory</t>
  </si>
  <si>
    <t>Total Assets</t>
  </si>
  <si>
    <t>Liabilities</t>
  </si>
  <si>
    <t>Retained Earnings</t>
  </si>
  <si>
    <t>Total Equity</t>
  </si>
  <si>
    <t>Receivables</t>
  </si>
  <si>
    <t>Workings</t>
  </si>
  <si>
    <t>Working Capital</t>
  </si>
  <si>
    <t>[years]</t>
  </si>
  <si>
    <t>Equity</t>
  </si>
  <si>
    <t>To Retained Earnings</t>
  </si>
  <si>
    <t>ModelOff 2015 - Round 1 - Section 2</t>
  </si>
  <si>
    <t>[$]</t>
  </si>
  <si>
    <t>Period Start</t>
  </si>
  <si>
    <t>Period End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</si>
  <si>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</si>
  <si>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</si>
  <si>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</si>
  <si>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</si>
  <si>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</si>
  <si>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</si>
  <si>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</si>
  <si>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</si>
  <si>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</si>
  <si>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</si>
  <si>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</si>
  <si>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</si>
  <si>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</si>
  <si>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</si>
  <si>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</si>
  <si>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</si>
  <si>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</si>
  <si>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</si>
  <si>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</si>
  <si>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Assumptions</t>
  </si>
  <si>
    <t>Sales</t>
  </si>
  <si>
    <t>Year 1</t>
  </si>
  <si>
    <t>[$ p.a.]</t>
  </si>
  <si>
    <t>[% p.a.]</t>
  </si>
  <si>
    <t>Growth - Type A</t>
  </si>
  <si>
    <t>Growth - Type B</t>
  </si>
  <si>
    <t>Cost of Goods Sold</t>
  </si>
  <si>
    <t>Cost of Goods Sold (COGS)</t>
  </si>
  <si>
    <t>% of Sales</t>
  </si>
  <si>
    <t>Expenses</t>
  </si>
  <si>
    <t>Growth</t>
  </si>
  <si>
    <t>Opening PPE</t>
  </si>
  <si>
    <t>Amount</t>
  </si>
  <si>
    <t>Life</t>
  </si>
  <si>
    <t>New PPE</t>
  </si>
  <si>
    <t>Time of Purchase</t>
  </si>
  <si>
    <t>Funded by Equity</t>
  </si>
  <si>
    <t>Payables 1</t>
  </si>
  <si>
    <t>Payables 2</t>
  </si>
  <si>
    <t>Debt</t>
  </si>
  <si>
    <t>Interest Rate</t>
  </si>
  <si>
    <t>Initial Draw</t>
  </si>
  <si>
    <t>Principal repayment</t>
  </si>
  <si>
    <t>Equity Injections</t>
  </si>
  <si>
    <t>Initial Injection</t>
  </si>
  <si>
    <t>Injection 2 Amount</t>
  </si>
  <si>
    <t>Injection 2 Time</t>
  </si>
  <si>
    <t>[end of year #]</t>
  </si>
  <si>
    <t>[% of sales]</t>
  </si>
  <si>
    <t>[% of COGS]</t>
  </si>
  <si>
    <t>[% of expenses]</t>
  </si>
  <si>
    <t>Distributions</t>
  </si>
  <si>
    <t>Distribute cash above this level:</t>
  </si>
  <si>
    <t>Opening Assets</t>
  </si>
  <si>
    <t>Cash</t>
  </si>
  <si>
    <t>PPE</t>
  </si>
  <si>
    <t>Cell to be populated by model author</t>
  </si>
  <si>
    <t>Year Number</t>
  </si>
  <si>
    <t>Profit and Loss</t>
  </si>
  <si>
    <t>EBITDA</t>
  </si>
  <si>
    <t>Depreciation</t>
  </si>
  <si>
    <t>Interest Expense</t>
  </si>
  <si>
    <t>Net Profit</t>
  </si>
  <si>
    <t>Balance Sheet</t>
  </si>
  <si>
    <t>Payables</t>
  </si>
  <si>
    <t>Total Liabilities</t>
  </si>
  <si>
    <t>NET ASSETS</t>
  </si>
  <si>
    <t>Shareholder Capital</t>
  </si>
  <si>
    <t>Interest Payments</t>
  </si>
  <si>
    <t>Principal Repayments</t>
  </si>
  <si>
    <t>Change in Working Capital</t>
  </si>
  <si>
    <t>Capital Expenditure</t>
  </si>
  <si>
    <t>Debt Drawdowns</t>
  </si>
  <si>
    <t>Net Cash Fow in period before Distributions</t>
  </si>
  <si>
    <t>Net Cash Fow in period after Distributions</t>
  </si>
  <si>
    <t>Cash Flow in Period</t>
  </si>
  <si>
    <t>Cash Account</t>
  </si>
  <si>
    <t>Opening Balance</t>
  </si>
  <si>
    <t>Cash Flow in Period before Distributions</t>
  </si>
  <si>
    <t>Closing Cash Balance</t>
  </si>
  <si>
    <t>Cash Flow and Cash Account</t>
  </si>
  <si>
    <t>Debt Facility</t>
  </si>
  <si>
    <t>Add: Drawdowns</t>
  </si>
  <si>
    <t>Less: Repayments</t>
  </si>
  <si>
    <t>Change in Inventory</t>
  </si>
  <si>
    <t>Change in Receivables</t>
  </si>
  <si>
    <t>Change in Payables</t>
  </si>
  <si>
    <t>Total Change in Working Capital</t>
  </si>
  <si>
    <t>Capex and Depreciation</t>
  </si>
  <si>
    <t>Add: Capex</t>
  </si>
  <si>
    <t>Less: Depreciation</t>
  </si>
  <si>
    <t>Closing Debt Balance</t>
  </si>
  <si>
    <t>Closing Balance</t>
  </si>
  <si>
    <t>Equity Analysis</t>
  </si>
  <si>
    <t>Equity Cash Flows</t>
  </si>
  <si>
    <t>Cash In</t>
  </si>
  <si>
    <t>Cash Out</t>
  </si>
  <si>
    <t>Total Cash to Equity</t>
  </si>
  <si>
    <t>IRR</t>
  </si>
  <si>
    <t>Questions and Answers</t>
  </si>
  <si>
    <t>Check</t>
  </si>
  <si>
    <t>[check]</t>
  </si>
  <si>
    <t>Check Initial Cash</t>
  </si>
  <si>
    <t>Rounded</t>
  </si>
  <si>
    <t>Unrounded</t>
  </si>
  <si>
    <t>Correct Answer</t>
  </si>
  <si>
    <t>B</t>
  </si>
  <si>
    <t>D</t>
  </si>
  <si>
    <t>F</t>
  </si>
  <si>
    <t>A</t>
  </si>
  <si>
    <t>C</t>
  </si>
  <si>
    <t>E</t>
  </si>
  <si>
    <t>Difference (Q30)</t>
  </si>
  <si>
    <t>dan@fintega.com</t>
  </si>
  <si>
    <t>www.fintega.com</t>
  </si>
  <si>
    <t>Solution workbook prepared by Dan Mayoh (ModelOff QDT)</t>
  </si>
  <si>
    <t>Solution workbook prepared by Dan Mayoh (ModelOff QDT, Fintega Pty Ltd)</t>
  </si>
  <si>
    <t>Dan Mayoh is Managing Director of Fintega Pty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</si>
</sst>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3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3">
      <protection locked="0"/>
    </xf>
    <xf numFmtId="165" fontId="7" fillId="4" borderId="13">
      <protection locked="0"/>
    </xf>
    <xf numFmtId="165" fontId="7" fillId="0" borderId="14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6" applyNumberFormat="0" applyAlignment="0" applyProtection="0"/>
    <xf numFmtId="0" fontId="22" fillId="9" borderId="7" applyNumberFormat="0" applyAlignment="0" applyProtection="0"/>
    <xf numFmtId="0" fontId="23" fillId="9" borderId="6" applyNumberFormat="0" applyAlignment="0" applyProtection="0"/>
    <xf numFmtId="0" fontId="24" fillId="0" borderId="8" applyNumberFormat="0" applyFill="0" applyAlignment="0" applyProtection="0"/>
    <xf numFmtId="0" fontId="25" fillId="10" borderId="9" applyNumberFormat="0" applyAlignment="0" applyProtection="0"/>
    <xf numFmtId="0" fontId="26" fillId="0" borderId="0" applyNumberFormat="0" applyFill="0" applyBorder="0" applyAlignment="0" applyProtection="0"/>
    <xf numFmtId="0" fontId="13" fillId="11" borderId="10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3">
      <protection locked="0"/>
    </xf>
    <xf numFmtId="166" fontId="7" fillId="4" borderId="13"/>
    <xf numFmtId="0" fontId="32" fillId="0" borderId="0" applyNumberFormat="0" applyFill="0" applyBorder="0" applyAlignment="0" applyProtection="0"/>
  </cellStyleXfs>
  <cellXfs count="64">
    <xf numFmtId="0" fontId="0" fillId="0" borderId="0" xfId="0"/>
    <xf numFmtId="168" fontId="4" fillId="36" borderId="0" xfId="1" applyNumberFormat="1"/>
    <xf numFmtId="0" fontId="4" fillId="36" borderId="0" xfId="1"/>
    <xf numFmtId="0" fontId="3" fillId="0" borderId="0" xfId="0" applyFont="1"/>
    <xf numFmtId="0" fontId="4" fillId="36" borderId="0" xfId="1" applyFont="1"/>
    <xf numFmtId="0" fontId="5" fillId="0" borderId="0" xfId="0" applyFont="1"/>
    <xf numFmtId="164" fontId="6" fillId="36" borderId="0" xfId="1" applyNumberFormat="1" applyFont="1" applyAlignment="1">
      <alignment horizontal="left"/>
    </xf>
    <xf numFmtId="0" fontId="6" fillId="36" borderId="0" xfId="1" applyFont="1"/>
    <xf numFmtId="165" fontId="3" fillId="0" borderId="0" xfId="2"/>
    <xf numFmtId="165" fontId="7" fillId="0" borderId="0" xfId="3" applyNumberFormat="1">
      <alignment horizontal="right"/>
    </xf>
    <xf numFmtId="165" fontId="0" fillId="0" borderId="0" xfId="0" applyNumberFormat="1"/>
    <xf numFmtId="165" fontId="9" fillId="0" borderId="0" xfId="5"/>
    <xf numFmtId="166" fontId="3" fillId="0" borderId="0" xfId="6"/>
    <xf numFmtId="165" fontId="3" fillId="0" borderId="0" xfId="2" applyBorder="1"/>
    <xf numFmtId="165" fontId="7" fillId="0" borderId="0" xfId="3" applyNumberFormat="1" applyBorder="1">
      <alignment horizontal="right"/>
    </xf>
    <xf numFmtId="4" fontId="9" fillId="2" borderId="1" xfId="7">
      <alignment horizontal="left"/>
    </xf>
    <xf numFmtId="0" fontId="3" fillId="0" borderId="0" xfId="0" applyFont="1" applyBorder="1"/>
    <xf numFmtId="165" fontId="3" fillId="0" borderId="0" xfId="2" quotePrefix="1"/>
    <xf numFmtId="0" fontId="10" fillId="0" borderId="0" xfId="0" applyFont="1"/>
    <xf numFmtId="0" fontId="7" fillId="0" borderId="0" xfId="3">
      <alignment horizontal="right"/>
    </xf>
    <xf numFmtId="165" fontId="3" fillId="0" borderId="2" xfId="2" applyBorder="1"/>
    <xf numFmtId="167" fontId="7" fillId="4" borderId="13" xfId="8">
      <protection locked="0"/>
    </xf>
    <xf numFmtId="0" fontId="3" fillId="0" borderId="0" xfId="6" applyNumberFormat="1"/>
    <xf numFmtId="165" fontId="7" fillId="0" borderId="14" xfId="10"/>
    <xf numFmtId="0" fontId="2" fillId="36" borderId="0" xfId="1" applyFont="1" applyAlignment="1"/>
    <xf numFmtId="167" fontId="11" fillId="0" borderId="0" xfId="11"/>
    <xf numFmtId="165" fontId="12" fillId="0" borderId="0" xfId="2" applyFont="1"/>
    <xf numFmtId="165" fontId="10" fillId="0" borderId="0" xfId="12" applyNumberFormat="1"/>
    <xf numFmtId="166" fontId="3" fillId="0" borderId="0" xfId="6" applyBorder="1"/>
    <xf numFmtId="0" fontId="3" fillId="0" borderId="0" xfId="6" applyNumberFormat="1" applyBorder="1"/>
    <xf numFmtId="4" fontId="9" fillId="2" borderId="1" xfId="7" applyBorder="1">
      <alignment horizontal="left"/>
    </xf>
    <xf numFmtId="165" fontId="9" fillId="0" borderId="0" xfId="5" applyBorder="1"/>
    <xf numFmtId="165" fontId="3" fillId="0" borderId="12" xfId="2" applyBorder="1"/>
    <xf numFmtId="165" fontId="7" fillId="4" borderId="13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3" xfId="60">
      <protection locked="0"/>
    </xf>
    <xf numFmtId="166" fontId="7" fillId="4" borderId="13" xfId="61"/>
    <xf numFmtId="166" fontId="12" fillId="0" borderId="0" xfId="6" applyFont="1"/>
    <xf numFmtId="165" fontId="3" fillId="0" borderId="0" xfId="2" applyFill="1"/>
    <xf numFmtId="165" fontId="3" fillId="0" borderId="0" xfId="2" applyFill="1" applyBorder="1"/>
    <xf numFmtId="165" fontId="3" fillId="0" borderId="2" xfId="2" applyFill="1" applyBorder="1"/>
    <xf numFmtId="165" fontId="9" fillId="0" borderId="2" xfId="5" applyFill="1" applyBorder="1"/>
    <xf numFmtId="165" fontId="12" fillId="0" borderId="0" xfId="2" applyFont="1" applyFill="1"/>
    <xf numFmtId="167" fontId="10" fillId="0" borderId="0" xfId="12" applyNumberFormat="1"/>
    <xf numFmtId="165" fontId="10" fillId="0" borderId="0" xfId="12" quotePrefix="1" applyNumberFormat="1"/>
    <xf numFmtId="167" fontId="10" fillId="0" borderId="0" xfId="12" quotePrefix="1" applyNumberFormat="1"/>
    <xf numFmtId="165" fontId="9" fillId="0" borderId="2" xfId="5" applyBorder="1"/>
    <xf numFmtId="165" fontId="9" fillId="0" borderId="0" xfId="5" applyAlignment="1">
      <alignment horizontal="center"/>
    </xf>
    <xf numFmtId="167" fontId="11" fillId="3" borderId="0" xfId="11" applyFill="1"/>
    <xf numFmtId="167" fontId="12" fillId="0" borderId="0" xfId="11" applyFont="1"/>
    <xf numFmtId="165" fontId="3" fillId="0" borderId="0" xfId="2" applyAlignment="1">
      <alignment horizontal="left"/>
    </xf>
    <xf numFmtId="165" fontId="32" fillId="0" borderId="0" xfId="62" applyNumberFormat="1"/>
    <xf numFmtId="165" fontId="9" fillId="0" borderId="0" xfId="2" applyFont="1" applyAlignment="1">
      <alignment horizontal="right"/>
    </xf>
    <xf numFmtId="0" fontId="0" fillId="0" borderId="0" xfId="0" applyAlignment="1"/>
    <xf numFmtId="0" fontId="32" fillId="0" borderId="0" xfId="62" applyAlignment="1"/>
    <xf numFmtId="0" fontId="32" fillId="0" borderId="0" xfId="62" applyAlignment="1">
      <alignment horizontal="right"/>
    </xf>
    <xf numFmtId="165" fontId="9" fillId="0" borderId="0" xfId="5" applyAlignment="1">
      <alignment vertical="center"/>
    </xf>
    <xf numFmtId="165" fontId="9" fillId="0" borderId="0" xfId="5" applyAlignment="1">
      <alignment vertical="top"/>
    </xf>
    <xf numFmtId="165" fontId="32" fillId="0" borderId="0" xfId="62" applyNumberFormat="1" applyAlignment="1">
      <alignment horizontal="right"/>
    </xf>
    <xf numFmtId="165" fontId="3" fillId="0" borderId="0" xfId="2" applyAlignment="1">
      <alignment horizontal="right"/>
    </xf>
  </cellXfs>
  <cellStyles count="63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Hyperlink" xfId="62" builtinId="8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www.fintega.com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686463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541629</xdr:colOff>
      <xdr:row>6</xdr:row>
      <xdr:rowOff>91285</xdr:rowOff>
    </xdr:from>
    <xdr:to>
      <xdr:col>10</xdr:col>
      <xdr:colOff>87149</xdr:colOff>
      <xdr:row>9</xdr:row>
      <xdr:rowOff>137168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3404" y="1300960"/>
          <a:ext cx="1498145" cy="503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10081</xdr:colOff>
      <xdr:row>4</xdr:row>
      <xdr:rowOff>32102</xdr:rowOff>
    </xdr:from>
    <xdr:to>
      <xdr:col>3</xdr:col>
      <xdr:colOff>306952</xdr:colOff>
      <xdr:row>7</xdr:row>
      <xdr:rowOff>26431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" y="936977"/>
          <a:ext cx="1344621" cy="45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8" y="0"/>
          <a:ext cx="2667663" cy="749113"/>
        </a:xfrm>
        <a:prstGeom prst="rect">
          <a:avLst/>
        </a:prstGeom>
      </xdr:spPr>
    </xdr:pic>
    <xdr:clientData/>
  </xdr:twoCellAnchor>
  <xdr:twoCellAnchor editAs="oneCell">
    <xdr:from>
      <xdr:col>0</xdr:col>
      <xdr:colOff>1299</xdr:colOff>
      <xdr:row>4</xdr:row>
      <xdr:rowOff>37173</xdr:rowOff>
    </xdr:from>
    <xdr:to>
      <xdr:col>3</xdr:col>
      <xdr:colOff>298170</xdr:colOff>
      <xdr:row>7</xdr:row>
      <xdr:rowOff>31502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" y="942048"/>
          <a:ext cx="1344621" cy="451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intega.com/" TargetMode="External"/><Relationship Id="rId1" Type="http://schemas.openxmlformats.org/officeDocument/2006/relationships/hyperlink" Target="mailto:dan@fintega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L49"/>
  <sheetViews>
    <sheetView showGridLines="0" tabSelected="1" zoomScaleNormal="100" zoomScalePageLayoutView="85" workbookViewId="0">
      <pane ySplit="3" topLeftCell="A4" activePane="bottomLeft" state="frozen"/>
      <selection pane="bottomLeft" activeCell="G6" sqref="G6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8" customWidth="1"/>
    <col min="4" max="4" width="40.7109375" style="18" customWidth="1"/>
    <col min="5" max="5" width="12.7109375" style="3" customWidth="1"/>
    <col min="6" max="6" width="13.140625" style="3" customWidth="1"/>
    <col min="7" max="7" width="5.7109375" style="3" customWidth="1"/>
    <col min="8" max="8" width="10.7109375" style="19" customWidth="1"/>
    <col min="9" max="9" width="12.7109375" style="3" customWidth="1"/>
    <col min="10" max="10" width="16.5703125" style="3" customWidth="1"/>
    <col min="11" max="16384" width="8.85546875" style="3"/>
  </cols>
  <sheetData>
    <row r="1" spans="1:12" ht="23.25" x14ac:dyDescent="0.35">
      <c r="A1" s="24" t="s">
        <v>16</v>
      </c>
      <c r="B1" s="2"/>
      <c r="C1" s="2"/>
      <c r="D1" s="2"/>
      <c r="E1" s="2"/>
      <c r="F1" s="2"/>
      <c r="G1" s="2"/>
      <c r="H1" s="2"/>
      <c r="I1" s="2"/>
      <c r="J1" s="2"/>
    </row>
    <row r="2" spans="1:12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2" ht="18" customHeight="1" x14ac:dyDescent="0.25">
      <c r="A3" s="6"/>
      <c r="B3" s="2"/>
      <c r="C3" s="7" t="s">
        <v>20</v>
      </c>
      <c r="D3" s="2"/>
      <c r="E3" s="2"/>
      <c r="F3" s="2"/>
      <c r="G3" s="2"/>
      <c r="H3" s="2"/>
      <c r="I3" s="2"/>
      <c r="J3" s="2"/>
    </row>
    <row r="4" spans="1:12" s="8" customFormat="1" ht="12" customHeight="1" x14ac:dyDescent="0.2">
      <c r="H4" s="9"/>
    </row>
    <row r="5" spans="1:12" s="8" customFormat="1" ht="12" customHeight="1" x14ac:dyDescent="0.2">
      <c r="D5" s="11" t="s">
        <v>135</v>
      </c>
      <c r="G5" s="63" t="s">
        <v>137</v>
      </c>
      <c r="H5" s="63"/>
      <c r="I5" s="63"/>
      <c r="J5" s="63"/>
    </row>
    <row r="6" spans="1:12" s="8" customFormat="1" ht="12" customHeight="1" x14ac:dyDescent="0.25">
      <c r="J6" s="58" t="s">
        <v>133</v>
      </c>
    </row>
    <row r="7" spans="1:12" s="8" customFormat="1" ht="12" customHeight="1" x14ac:dyDescent="0.25">
      <c r="E7"/>
      <c r="F7"/>
      <c r="J7" s="59" t="s">
        <v>134</v>
      </c>
      <c r="L7" s="58"/>
    </row>
    <row r="8" spans="1:12" s="8" customFormat="1" ht="12" customHeight="1" x14ac:dyDescent="0.25">
      <c r="E8"/>
      <c r="F8"/>
      <c r="G8" s="55"/>
      <c r="I8" s="57"/>
    </row>
    <row r="9" spans="1:12" s="8" customFormat="1" ht="12" customHeight="1" x14ac:dyDescent="0.25">
      <c r="G9" s="55"/>
      <c r="H9" s="9"/>
      <c r="I9" s="62"/>
      <c r="J9" s="63"/>
    </row>
    <row r="10" spans="1:12" s="8" customFormat="1" ht="12" customHeight="1" x14ac:dyDescent="0.2">
      <c r="E10" s="11"/>
      <c r="H10" s="9"/>
    </row>
    <row r="11" spans="1:12" ht="12" customHeight="1" x14ac:dyDescent="0.2">
      <c r="A11" s="15"/>
      <c r="B11" s="15"/>
      <c r="C11" s="15" t="s">
        <v>21</v>
      </c>
      <c r="D11" s="15"/>
      <c r="E11" s="15"/>
      <c r="F11" s="15"/>
      <c r="G11" s="15"/>
      <c r="H11" s="15"/>
      <c r="I11" s="15"/>
      <c r="J11" s="15"/>
    </row>
    <row r="12" spans="1:12" s="16" customFormat="1" ht="12" customHeight="1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</row>
    <row r="13" spans="1:12" ht="12" customHeight="1" x14ac:dyDescent="0.2">
      <c r="A13" s="34"/>
      <c r="B13" s="34"/>
      <c r="C13" s="11"/>
      <c r="D13" s="34"/>
      <c r="E13" s="37"/>
      <c r="F13" s="34"/>
      <c r="G13" s="34"/>
      <c r="H13" s="34"/>
      <c r="I13" s="34"/>
      <c r="J13" s="34"/>
    </row>
    <row r="14" spans="1:12" ht="12" customHeight="1" x14ac:dyDescent="0.2">
      <c r="A14" s="34"/>
      <c r="B14" s="34"/>
      <c r="C14" s="34"/>
      <c r="D14" s="34" t="s">
        <v>22</v>
      </c>
      <c r="E14" s="37"/>
      <c r="F14" s="34"/>
      <c r="G14" s="34"/>
      <c r="H14" s="38"/>
      <c r="I14" s="33">
        <v>1000</v>
      </c>
      <c r="J14" s="34"/>
    </row>
    <row r="15" spans="1:12" ht="12" customHeight="1" x14ac:dyDescent="0.2">
      <c r="A15" s="34"/>
      <c r="B15" s="34"/>
      <c r="C15" s="34"/>
      <c r="D15" s="34"/>
      <c r="E15" s="37"/>
      <c r="F15" s="34"/>
      <c r="G15" s="34"/>
      <c r="H15" s="38"/>
      <c r="I15" s="34"/>
      <c r="J15" s="34"/>
    </row>
    <row r="16" spans="1:12" ht="12" customHeight="1" x14ac:dyDescent="0.2">
      <c r="A16" s="34"/>
      <c r="B16" s="34"/>
      <c r="C16" s="34"/>
      <c r="D16" s="34" t="s">
        <v>23</v>
      </c>
      <c r="E16" s="37"/>
      <c r="F16" s="34"/>
      <c r="G16" s="34"/>
      <c r="H16" s="38"/>
      <c r="I16" s="39">
        <v>1000</v>
      </c>
      <c r="J16" s="34"/>
    </row>
    <row r="17" spans="1:10" ht="12" customHeight="1" x14ac:dyDescent="0.2">
      <c r="A17" s="34"/>
      <c r="B17" s="34"/>
      <c r="C17" s="34"/>
      <c r="D17" s="34"/>
      <c r="E17" s="37"/>
      <c r="F17" s="34"/>
      <c r="G17" s="34"/>
      <c r="H17" s="34"/>
      <c r="I17" s="34"/>
      <c r="J17" s="34"/>
    </row>
    <row r="18" spans="1:10" ht="12" customHeight="1" x14ac:dyDescent="0.2">
      <c r="A18" s="34"/>
      <c r="B18" s="34"/>
      <c r="C18" s="34"/>
      <c r="D18" s="34" t="s">
        <v>24</v>
      </c>
      <c r="E18" s="37"/>
      <c r="F18" s="34"/>
      <c r="G18" s="34"/>
      <c r="H18" s="34"/>
      <c r="I18" s="21">
        <v>0.5</v>
      </c>
      <c r="J18" s="34"/>
    </row>
    <row r="19" spans="1:10" ht="12" customHeight="1" x14ac:dyDescent="0.2">
      <c r="A19" s="34"/>
      <c r="B19" s="34"/>
      <c r="C19" s="34"/>
      <c r="D19" s="34"/>
      <c r="E19" s="37"/>
      <c r="F19" s="34"/>
      <c r="G19" s="34"/>
      <c r="H19" s="34"/>
      <c r="I19" s="34"/>
      <c r="J19" s="34"/>
    </row>
    <row r="20" spans="1:10" ht="12" customHeight="1" x14ac:dyDescent="0.2">
      <c r="A20" s="34"/>
      <c r="B20" s="34"/>
      <c r="C20" s="34"/>
      <c r="D20" s="34" t="s">
        <v>25</v>
      </c>
      <c r="E20" s="37"/>
      <c r="F20" s="34"/>
      <c r="G20" s="34"/>
      <c r="H20" s="34"/>
      <c r="I20" s="40">
        <v>42369</v>
      </c>
      <c r="J20" s="34"/>
    </row>
    <row r="21" spans="1:10" ht="12" customHeight="1" x14ac:dyDescent="0.2">
      <c r="A21" s="34"/>
      <c r="B21" s="34"/>
      <c r="C21" s="34"/>
      <c r="D21" s="34"/>
      <c r="E21" s="37"/>
      <c r="F21" s="34"/>
      <c r="G21" s="34"/>
      <c r="H21" s="34"/>
      <c r="I21" s="34"/>
      <c r="J21" s="34"/>
    </row>
    <row r="22" spans="1:10" ht="12" customHeight="1" x14ac:dyDescent="0.2">
      <c r="A22" s="34"/>
      <c r="B22" s="34"/>
      <c r="C22" s="34"/>
      <c r="D22" s="34" t="s">
        <v>26</v>
      </c>
      <c r="E22" s="37"/>
      <c r="F22" s="34"/>
      <c r="G22" s="34"/>
      <c r="H22" s="34"/>
      <c r="I22" s="8">
        <v>1000</v>
      </c>
      <c r="J22" s="34"/>
    </row>
    <row r="23" spans="1:10" ht="12" customHeight="1" x14ac:dyDescent="0.2">
      <c r="A23" s="34"/>
      <c r="B23" s="34"/>
      <c r="C23" s="34"/>
      <c r="D23" s="34"/>
      <c r="E23" s="37"/>
      <c r="F23" s="34"/>
      <c r="G23" s="34"/>
      <c r="H23" s="34"/>
      <c r="I23" s="34"/>
      <c r="J23" s="34"/>
    </row>
    <row r="24" spans="1:10" ht="12" customHeight="1" x14ac:dyDescent="0.2">
      <c r="A24" s="34"/>
      <c r="B24" s="34"/>
      <c r="C24" s="34"/>
      <c r="D24" s="34" t="s">
        <v>38</v>
      </c>
      <c r="E24" s="37"/>
      <c r="F24" s="34"/>
      <c r="G24" s="34"/>
      <c r="H24" s="34"/>
      <c r="I24" s="8">
        <v>-1000</v>
      </c>
      <c r="J24" s="34"/>
    </row>
    <row r="25" spans="1:10" ht="12" customHeight="1" x14ac:dyDescent="0.2">
      <c r="A25" s="34"/>
      <c r="B25" s="34"/>
      <c r="C25" s="34"/>
      <c r="D25" s="34"/>
      <c r="E25" s="37"/>
      <c r="F25" s="34"/>
      <c r="G25" s="34"/>
      <c r="H25" s="34"/>
      <c r="I25" s="34"/>
      <c r="J25" s="34"/>
    </row>
    <row r="26" spans="1:10" ht="12" customHeight="1" x14ac:dyDescent="0.2">
      <c r="A26" s="34"/>
      <c r="B26" s="34"/>
      <c r="C26" s="34"/>
      <c r="D26" s="34" t="s">
        <v>27</v>
      </c>
      <c r="E26" s="37"/>
      <c r="F26" s="34"/>
      <c r="G26" s="34"/>
      <c r="H26" s="34"/>
      <c r="I26" s="34">
        <v>1000</v>
      </c>
      <c r="J26" s="34"/>
    </row>
    <row r="27" spans="1:10" ht="12" customHeight="1" x14ac:dyDescent="0.2">
      <c r="A27" s="34"/>
      <c r="B27" s="34"/>
      <c r="C27" s="34"/>
      <c r="D27" s="34"/>
      <c r="E27" s="37"/>
      <c r="F27" s="34"/>
      <c r="G27" s="34"/>
      <c r="H27" s="34"/>
      <c r="I27" s="34"/>
      <c r="J27" s="34"/>
    </row>
    <row r="28" spans="1:10" ht="12" customHeight="1" x14ac:dyDescent="0.2">
      <c r="A28" s="34"/>
      <c r="B28" s="34"/>
      <c r="C28" s="34"/>
      <c r="D28" s="34" t="s">
        <v>28</v>
      </c>
      <c r="E28" s="37"/>
      <c r="F28" s="34"/>
      <c r="G28" s="34"/>
      <c r="H28" s="34"/>
      <c r="I28" s="25">
        <v>0.5</v>
      </c>
      <c r="J28" s="34"/>
    </row>
    <row r="29" spans="1:10" ht="12" customHeight="1" x14ac:dyDescent="0.2">
      <c r="A29" s="34"/>
      <c r="B29" s="34"/>
      <c r="C29" s="34"/>
      <c r="D29" s="34"/>
      <c r="E29" s="37"/>
      <c r="F29" s="34"/>
      <c r="G29" s="34"/>
      <c r="H29" s="34"/>
      <c r="I29" s="34"/>
      <c r="J29" s="34"/>
    </row>
    <row r="30" spans="1:10" ht="12" customHeight="1" x14ac:dyDescent="0.2">
      <c r="A30" s="34"/>
      <c r="B30" s="34"/>
      <c r="C30" s="34"/>
      <c r="D30" s="34" t="s">
        <v>76</v>
      </c>
      <c r="E30" s="37"/>
      <c r="F30" s="34"/>
      <c r="G30" s="34"/>
      <c r="H30" s="34"/>
      <c r="I30" s="36">
        <v>0</v>
      </c>
      <c r="J30" s="34"/>
    </row>
    <row r="31" spans="1:10" ht="12" customHeight="1" x14ac:dyDescent="0.2">
      <c r="A31" s="34"/>
      <c r="B31" s="34"/>
      <c r="C31" s="34"/>
      <c r="D31" s="34"/>
      <c r="E31" s="37"/>
      <c r="F31" s="34"/>
      <c r="G31" s="34"/>
      <c r="H31" s="34"/>
      <c r="I31" s="34"/>
      <c r="J31" s="34"/>
    </row>
    <row r="32" spans="1:10" ht="12" customHeight="1" x14ac:dyDescent="0.2">
      <c r="A32" s="34"/>
      <c r="B32" s="34"/>
      <c r="C32" s="34"/>
      <c r="D32" s="34" t="s">
        <v>29</v>
      </c>
      <c r="E32" s="37"/>
      <c r="F32" s="34"/>
      <c r="G32" s="34"/>
      <c r="H32" s="34"/>
      <c r="I32" s="12">
        <v>42369</v>
      </c>
      <c r="J32" s="34"/>
    </row>
    <row r="33" spans="1:10" ht="12" customHeight="1" x14ac:dyDescent="0.2">
      <c r="A33" s="34"/>
      <c r="B33" s="34"/>
      <c r="C33" s="34"/>
      <c r="D33" s="34"/>
      <c r="E33" s="37"/>
      <c r="F33" s="34"/>
      <c r="G33" s="34"/>
      <c r="H33" s="34"/>
      <c r="I33" s="34"/>
      <c r="J33" s="34"/>
    </row>
    <row r="34" spans="1:10" ht="12" customHeight="1" x14ac:dyDescent="0.2">
      <c r="A34" s="34"/>
      <c r="B34" s="34"/>
      <c r="C34" s="34"/>
      <c r="D34" s="34" t="s">
        <v>36</v>
      </c>
      <c r="E34" s="37"/>
      <c r="F34" s="34"/>
      <c r="G34" s="34"/>
      <c r="H34" s="34"/>
      <c r="I34" s="26" t="s">
        <v>37</v>
      </c>
      <c r="J34" s="34"/>
    </row>
    <row r="35" spans="1:10" ht="12" customHeight="1" x14ac:dyDescent="0.2">
      <c r="A35" s="34"/>
      <c r="B35" s="34"/>
      <c r="C35" s="34"/>
      <c r="D35" s="34"/>
      <c r="E35" s="37"/>
      <c r="F35" s="34"/>
      <c r="G35" s="34"/>
      <c r="H35" s="34"/>
      <c r="I35" s="34"/>
      <c r="J35" s="34"/>
    </row>
    <row r="36" spans="1:10" ht="12" customHeight="1" x14ac:dyDescent="0.2">
      <c r="A36" s="34"/>
      <c r="B36" s="34"/>
      <c r="C36" s="34"/>
      <c r="D36" s="34" t="s">
        <v>30</v>
      </c>
      <c r="E36" s="37"/>
      <c r="F36" s="34"/>
      <c r="G36" s="34"/>
      <c r="H36" s="34"/>
      <c r="I36" s="38" t="s">
        <v>17</v>
      </c>
      <c r="J36" s="34"/>
    </row>
    <row r="37" spans="1:10" ht="12" customHeight="1" x14ac:dyDescent="0.2">
      <c r="A37" s="34"/>
      <c r="B37" s="34"/>
      <c r="C37" s="34"/>
      <c r="D37" s="34"/>
      <c r="E37" s="37"/>
      <c r="F37" s="34"/>
      <c r="G37" s="34"/>
      <c r="H37" s="34"/>
      <c r="I37" s="34"/>
      <c r="J37" s="34"/>
    </row>
    <row r="38" spans="1:10" ht="12" customHeight="1" x14ac:dyDescent="0.2">
      <c r="A38" s="34"/>
      <c r="B38" s="34"/>
      <c r="C38" s="34"/>
      <c r="D38" s="34" t="s">
        <v>31</v>
      </c>
      <c r="E38" s="37"/>
      <c r="F38" s="34"/>
      <c r="G38" s="34"/>
      <c r="H38" s="34"/>
      <c r="I38" s="23">
        <v>1000</v>
      </c>
      <c r="J38" s="34"/>
    </row>
    <row r="39" spans="1:10" ht="12" customHeight="1" x14ac:dyDescent="0.2">
      <c r="A39" s="34"/>
      <c r="B39" s="34"/>
      <c r="C39" s="34"/>
      <c r="D39" s="34"/>
      <c r="E39" s="37"/>
      <c r="F39" s="34"/>
      <c r="G39" s="34"/>
      <c r="H39" s="34"/>
      <c r="I39" s="34"/>
      <c r="J39" s="34"/>
    </row>
    <row r="40" spans="1:10" ht="12" customHeight="1" x14ac:dyDescent="0.2">
      <c r="A40" s="34"/>
      <c r="B40" s="34"/>
      <c r="C40" s="34"/>
      <c r="D40" s="34" t="s">
        <v>32</v>
      </c>
      <c r="E40" s="37"/>
      <c r="F40" s="34"/>
      <c r="G40" s="34"/>
      <c r="H40" s="34"/>
      <c r="I40" s="11" t="s">
        <v>33</v>
      </c>
      <c r="J40" s="34"/>
    </row>
    <row r="41" spans="1:10" ht="12" customHeight="1" x14ac:dyDescent="0.2">
      <c r="A41" s="34"/>
      <c r="B41" s="34"/>
      <c r="C41" s="34"/>
      <c r="D41" s="34"/>
      <c r="E41" s="37"/>
      <c r="F41" s="34"/>
      <c r="G41" s="34"/>
      <c r="H41" s="34"/>
      <c r="I41" s="34"/>
      <c r="J41" s="34"/>
    </row>
    <row r="42" spans="1:10" ht="12" customHeight="1" x14ac:dyDescent="0.2">
      <c r="A42" s="34"/>
      <c r="B42" s="34"/>
      <c r="C42" s="34"/>
      <c r="D42" s="34" t="s">
        <v>11</v>
      </c>
      <c r="E42" s="37"/>
      <c r="F42" s="34"/>
      <c r="G42" s="34"/>
      <c r="H42" s="34"/>
      <c r="I42" s="27">
        <v>1000</v>
      </c>
      <c r="J42" s="34"/>
    </row>
    <row r="43" spans="1:10" ht="12" customHeight="1" x14ac:dyDescent="0.2">
      <c r="A43" s="34"/>
      <c r="B43" s="34"/>
      <c r="C43" s="34"/>
      <c r="D43" s="34"/>
      <c r="E43" s="37"/>
      <c r="F43" s="34"/>
      <c r="G43" s="34"/>
      <c r="H43" s="34"/>
      <c r="I43" s="34"/>
      <c r="J43" s="34"/>
    </row>
    <row r="44" spans="1:10" ht="12" customHeight="1" x14ac:dyDescent="0.25">
      <c r="A44" s="34"/>
      <c r="B44" s="34"/>
      <c r="C44" s="34"/>
      <c r="D44" s="34" t="s">
        <v>34</v>
      </c>
      <c r="E44" s="37"/>
      <c r="F44" s="34"/>
      <c r="G44" s="34"/>
      <c r="H44" s="34"/>
      <c r="I44" s="1" t="s">
        <v>33</v>
      </c>
      <c r="J44" s="34"/>
    </row>
    <row r="45" spans="1:10" ht="12" customHeight="1" x14ac:dyDescent="0.2">
      <c r="A45" s="34"/>
      <c r="B45" s="34"/>
      <c r="C45" s="34"/>
      <c r="D45" s="34"/>
      <c r="E45" s="37"/>
      <c r="F45" s="34"/>
      <c r="G45" s="34"/>
      <c r="H45" s="34"/>
      <c r="I45" s="34"/>
      <c r="J45" s="34"/>
    </row>
    <row r="46" spans="1:10" ht="12" customHeight="1" x14ac:dyDescent="0.2">
      <c r="A46" s="34"/>
      <c r="B46" s="34"/>
      <c r="C46" s="34"/>
      <c r="D46" s="34" t="s">
        <v>35</v>
      </c>
      <c r="E46" s="37"/>
      <c r="F46" s="34"/>
      <c r="G46" s="34"/>
      <c r="H46" s="34"/>
      <c r="I46" s="15" t="s">
        <v>33</v>
      </c>
      <c r="J46" s="34"/>
    </row>
    <row r="47" spans="1:10" ht="12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2" customHeight="1" x14ac:dyDescent="0.2">
      <c r="A48" s="15"/>
      <c r="B48" s="15"/>
      <c r="C48" s="15" t="s">
        <v>2</v>
      </c>
      <c r="D48" s="15"/>
      <c r="E48" s="15"/>
      <c r="F48" s="15"/>
      <c r="G48" s="15"/>
      <c r="H48" s="15"/>
      <c r="I48" s="15"/>
      <c r="J48" s="15"/>
    </row>
    <row r="49" ht="12" customHeight="1" x14ac:dyDescent="0.2"/>
  </sheetData>
  <mergeCells count="2">
    <mergeCell ref="I9:J9"/>
    <mergeCell ref="G5:J5"/>
  </mergeCells>
  <hyperlinks>
    <hyperlink ref="J6" r:id="rId1"/>
    <hyperlink ref="J7" r:id="rId2"/>
  </hyperlinks>
  <pageMargins left="0.70866141732283472" right="0.70866141732283472" top="0.74803149606299213" bottom="0.74803149606299213" header="0.31496062992125984" footer="0.31496062992125984"/>
  <pageSetup paperSize="9" fitToWidth="2" orientation="portrait" verticalDpi="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L63"/>
  <sheetViews>
    <sheetView showGridLines="0" zoomScaleNormal="100" zoomScalePageLayoutView="85" workbookViewId="0">
      <pane ySplit="7" topLeftCell="A8" activePane="bottomLeft" state="frozen"/>
      <selection pane="bottomLeft" activeCell="D10" sqref="D10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8" customWidth="1"/>
    <col min="4" max="4" width="40.7109375" style="18" customWidth="1"/>
    <col min="5" max="6" width="12.7109375" style="3" customWidth="1"/>
    <col min="7" max="7" width="3.7109375" style="3" customWidth="1"/>
    <col min="8" max="8" width="10.7109375" style="19" customWidth="1"/>
    <col min="9" max="9" width="12.7109375" style="3" customWidth="1"/>
    <col min="10" max="10" width="15.7109375" style="3" customWidth="1"/>
    <col min="11" max="11" width="3.7109375" style="3" customWidth="1"/>
    <col min="12" max="12" width="12.7109375" style="3" customWidth="1"/>
    <col min="13" max="16384" width="8.85546875" style="3"/>
  </cols>
  <sheetData>
    <row r="1" spans="1:12" ht="23.25" x14ac:dyDescent="0.35">
      <c r="A1" s="24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" customHeight="1" x14ac:dyDescent="0.25">
      <c r="A3" s="6">
        <v>1</v>
      </c>
      <c r="B3" s="2"/>
      <c r="C3" s="7" t="s">
        <v>39</v>
      </c>
      <c r="D3" s="2"/>
      <c r="E3" s="2"/>
      <c r="F3" s="2"/>
      <c r="G3" s="2"/>
      <c r="H3" s="2"/>
      <c r="I3" s="2"/>
      <c r="J3" s="2"/>
      <c r="K3" s="2"/>
      <c r="L3" s="2"/>
    </row>
    <row r="4" spans="1:12" s="60" customFormat="1" ht="12" customHeight="1" x14ac:dyDescent="0.25">
      <c r="A4" s="60" t="s">
        <v>136</v>
      </c>
    </row>
    <row r="5" spans="1:12" s="60" customFormat="1" ht="12" customHeight="1" x14ac:dyDescent="0.25"/>
    <row r="6" spans="1:12" s="60" customFormat="1" ht="12" customHeight="1" x14ac:dyDescent="0.25"/>
    <row r="7" spans="1:12" s="60" customFormat="1" ht="12" customHeight="1" x14ac:dyDescent="0.25"/>
    <row r="8" spans="1:12" s="8" customFormat="1" ht="12" customHeight="1" x14ac:dyDescent="0.2"/>
    <row r="9" spans="1:12" s="8" customFormat="1" ht="12" customHeight="1" x14ac:dyDescent="0.2">
      <c r="F9" s="9" t="s">
        <v>0</v>
      </c>
    </row>
    <row r="10" spans="1:12" s="8" customFormat="1" ht="12" customHeight="1" x14ac:dyDescent="0.2"/>
    <row r="11" spans="1:12" ht="12" customHeight="1" x14ac:dyDescent="0.2">
      <c r="A11" s="15">
        <f>MAX(A$3:A10)+0.01</f>
        <v>1.01</v>
      </c>
      <c r="B11" s="15"/>
      <c r="C11" s="15" t="s">
        <v>39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1:12" s="16" customFormat="1" ht="12" customHeight="1" x14ac:dyDescent="0.2">
      <c r="A12" s="13"/>
      <c r="B12" s="13"/>
      <c r="C12" s="31"/>
      <c r="D12" s="13"/>
      <c r="E12" s="13"/>
      <c r="F12" s="14"/>
      <c r="G12" s="13"/>
      <c r="H12" s="13"/>
      <c r="I12" s="13"/>
      <c r="J12" s="13"/>
      <c r="K12" s="13"/>
      <c r="L12" s="13"/>
    </row>
    <row r="13" spans="1:12" ht="12" customHeight="1" x14ac:dyDescent="0.2">
      <c r="A13" s="8"/>
      <c r="B13" s="8"/>
      <c r="C13" s="11" t="s">
        <v>40</v>
      </c>
      <c r="D13" s="8"/>
      <c r="E13" s="17"/>
      <c r="F13" s="9"/>
      <c r="G13" s="8"/>
      <c r="H13" s="8"/>
      <c r="I13" s="8"/>
      <c r="J13" s="8"/>
      <c r="K13" s="8"/>
      <c r="L13" s="8"/>
    </row>
    <row r="14" spans="1:12" ht="12" customHeight="1" x14ac:dyDescent="0.2">
      <c r="A14" s="8"/>
      <c r="B14" s="8"/>
      <c r="C14" s="11"/>
      <c r="D14" s="8" t="s">
        <v>41</v>
      </c>
      <c r="E14" s="17"/>
      <c r="F14" s="9" t="s">
        <v>17</v>
      </c>
      <c r="G14" s="8"/>
      <c r="H14" s="8"/>
      <c r="I14" s="8"/>
      <c r="J14" s="33">
        <v>25000000</v>
      </c>
      <c r="K14" s="8"/>
      <c r="L14" s="8"/>
    </row>
    <row r="15" spans="1:12" ht="12" customHeight="1" x14ac:dyDescent="0.2">
      <c r="A15" s="8"/>
      <c r="B15" s="8"/>
      <c r="C15" s="11"/>
      <c r="D15" s="8" t="s">
        <v>44</v>
      </c>
      <c r="E15" s="17"/>
      <c r="F15" s="9" t="s">
        <v>42</v>
      </c>
      <c r="G15" s="8"/>
      <c r="H15" s="8"/>
      <c r="I15" s="8"/>
      <c r="J15" s="33">
        <v>3000000</v>
      </c>
      <c r="K15" s="8"/>
      <c r="L15" s="8"/>
    </row>
    <row r="16" spans="1:12" ht="12" customHeight="1" x14ac:dyDescent="0.2">
      <c r="A16" s="8"/>
      <c r="B16" s="8"/>
      <c r="C16" s="11"/>
      <c r="D16" s="8" t="s">
        <v>45</v>
      </c>
      <c r="E16" s="17"/>
      <c r="F16" s="9" t="s">
        <v>43</v>
      </c>
      <c r="G16" s="8"/>
      <c r="H16" s="8"/>
      <c r="I16" s="8"/>
      <c r="J16" s="21">
        <v>0.08</v>
      </c>
      <c r="K16" s="8"/>
      <c r="L16" s="8"/>
    </row>
    <row r="17" spans="1:12" ht="12" customHeight="1" x14ac:dyDescent="0.2">
      <c r="A17" s="8"/>
      <c r="B17" s="8"/>
      <c r="C17" s="11"/>
      <c r="D17" s="8"/>
      <c r="E17" s="17"/>
      <c r="F17" s="9"/>
      <c r="G17" s="8"/>
      <c r="H17" s="8"/>
      <c r="I17" s="8"/>
      <c r="J17" s="8"/>
      <c r="K17" s="8"/>
      <c r="L17" s="8"/>
    </row>
    <row r="18" spans="1:12" ht="12" customHeight="1" x14ac:dyDescent="0.2">
      <c r="A18" s="8"/>
      <c r="B18" s="8"/>
      <c r="C18" s="11" t="s">
        <v>47</v>
      </c>
      <c r="D18" s="8"/>
      <c r="E18" s="17"/>
      <c r="F18" s="9"/>
      <c r="G18" s="8"/>
      <c r="H18" s="8"/>
      <c r="I18" s="8"/>
      <c r="J18" s="8"/>
      <c r="K18" s="8"/>
      <c r="L18" s="8"/>
    </row>
    <row r="19" spans="1:12" ht="12" customHeight="1" x14ac:dyDescent="0.2">
      <c r="A19" s="8"/>
      <c r="B19" s="8"/>
      <c r="C19" s="11"/>
      <c r="D19" s="8" t="s">
        <v>48</v>
      </c>
      <c r="E19" s="17"/>
      <c r="F19" s="9" t="s">
        <v>3</v>
      </c>
      <c r="G19" s="8"/>
      <c r="H19" s="8"/>
      <c r="I19" s="8"/>
      <c r="J19" s="21">
        <v>0.6</v>
      </c>
      <c r="K19" s="8"/>
      <c r="L19" s="8"/>
    </row>
    <row r="20" spans="1:12" ht="12" customHeight="1" x14ac:dyDescent="0.2">
      <c r="A20" s="8"/>
      <c r="B20" s="8"/>
      <c r="C20" s="11"/>
      <c r="D20" s="8"/>
      <c r="E20" s="17"/>
      <c r="F20" s="9"/>
      <c r="G20" s="8"/>
      <c r="H20" s="8"/>
      <c r="I20" s="8"/>
      <c r="J20" s="8"/>
      <c r="K20" s="8"/>
      <c r="L20" s="8"/>
    </row>
    <row r="21" spans="1:12" ht="12" customHeight="1" x14ac:dyDescent="0.2">
      <c r="A21" s="8"/>
      <c r="B21" s="8"/>
      <c r="C21" s="11" t="s">
        <v>49</v>
      </c>
      <c r="D21" s="8"/>
      <c r="E21" s="17"/>
      <c r="F21" s="9"/>
      <c r="G21" s="8"/>
      <c r="H21" s="8"/>
      <c r="I21" s="8"/>
      <c r="J21" s="8"/>
      <c r="K21" s="8"/>
      <c r="L21" s="8"/>
    </row>
    <row r="22" spans="1:12" ht="12" customHeight="1" x14ac:dyDescent="0.2">
      <c r="A22" s="8"/>
      <c r="B22" s="8"/>
      <c r="C22" s="11"/>
      <c r="D22" s="8" t="s">
        <v>41</v>
      </c>
      <c r="E22" s="17"/>
      <c r="F22" s="9" t="s">
        <v>17</v>
      </c>
      <c r="G22" s="8"/>
      <c r="H22" s="8"/>
      <c r="I22" s="8"/>
      <c r="J22" s="33">
        <v>3000000</v>
      </c>
      <c r="K22" s="8"/>
      <c r="L22" s="8"/>
    </row>
    <row r="23" spans="1:12" ht="12" customHeight="1" x14ac:dyDescent="0.2">
      <c r="A23" s="8"/>
      <c r="B23" s="8"/>
      <c r="C23" s="11"/>
      <c r="D23" s="8" t="s">
        <v>50</v>
      </c>
      <c r="E23" s="17"/>
      <c r="F23" s="9" t="s">
        <v>42</v>
      </c>
      <c r="G23" s="8"/>
      <c r="H23" s="8"/>
      <c r="I23" s="8"/>
      <c r="J23" s="21">
        <v>7.0000000000000007E-2</v>
      </c>
      <c r="K23" s="8"/>
      <c r="L23" s="8"/>
    </row>
    <row r="24" spans="1:12" ht="12" customHeight="1" x14ac:dyDescent="0.2">
      <c r="A24" s="8"/>
      <c r="B24" s="8"/>
      <c r="C24" s="11"/>
      <c r="D24" s="8"/>
      <c r="E24" s="17"/>
      <c r="F24" s="9"/>
      <c r="G24" s="8"/>
      <c r="H24" s="8"/>
      <c r="I24" s="8"/>
      <c r="J24" s="8"/>
      <c r="K24" s="8"/>
      <c r="L24" s="8"/>
    </row>
    <row r="25" spans="1:12" ht="12" customHeight="1" x14ac:dyDescent="0.2">
      <c r="A25" s="8"/>
      <c r="B25" s="8"/>
      <c r="C25" s="11" t="s">
        <v>51</v>
      </c>
      <c r="D25" s="8"/>
      <c r="E25" s="17"/>
      <c r="F25" s="9"/>
      <c r="G25" s="8"/>
      <c r="H25" s="8"/>
      <c r="I25" s="8"/>
      <c r="J25" s="8"/>
      <c r="K25" s="8"/>
      <c r="L25" s="8"/>
    </row>
    <row r="26" spans="1:12" ht="12" customHeight="1" x14ac:dyDescent="0.2">
      <c r="A26" s="8"/>
      <c r="B26" s="8"/>
      <c r="C26" s="11"/>
      <c r="D26" s="8" t="s">
        <v>52</v>
      </c>
      <c r="E26" s="17"/>
      <c r="F26" s="9" t="s">
        <v>17</v>
      </c>
      <c r="G26" s="8"/>
      <c r="H26" s="8"/>
      <c r="I26" s="8"/>
      <c r="J26" s="33">
        <v>40000000</v>
      </c>
      <c r="K26" s="8"/>
      <c r="L26" s="8"/>
    </row>
    <row r="27" spans="1:12" ht="12" customHeight="1" x14ac:dyDescent="0.2">
      <c r="A27" s="8"/>
      <c r="B27" s="8"/>
      <c r="C27" s="11"/>
      <c r="D27" s="8" t="s">
        <v>53</v>
      </c>
      <c r="E27" s="17"/>
      <c r="F27" s="9" t="s">
        <v>13</v>
      </c>
      <c r="G27" s="8"/>
      <c r="H27" s="8"/>
      <c r="I27" s="8"/>
      <c r="J27" s="33">
        <v>10</v>
      </c>
      <c r="K27" s="8"/>
      <c r="L27" s="8"/>
    </row>
    <row r="28" spans="1:12" ht="12" customHeight="1" x14ac:dyDescent="0.2">
      <c r="A28" s="8"/>
      <c r="B28" s="8"/>
      <c r="C28" s="11"/>
      <c r="D28" s="8"/>
      <c r="E28" s="17"/>
      <c r="F28" s="9"/>
      <c r="G28" s="8"/>
      <c r="H28" s="8"/>
      <c r="I28" s="8"/>
      <c r="J28" s="8"/>
      <c r="K28" s="8"/>
      <c r="L28" s="8"/>
    </row>
    <row r="29" spans="1:12" ht="12" customHeight="1" x14ac:dyDescent="0.2">
      <c r="A29" s="8"/>
      <c r="B29" s="8"/>
      <c r="C29" s="11" t="s">
        <v>54</v>
      </c>
      <c r="D29" s="8"/>
      <c r="E29" s="17"/>
      <c r="F29" s="9"/>
      <c r="G29" s="8"/>
      <c r="H29" s="8"/>
      <c r="I29" s="8"/>
      <c r="J29" s="8"/>
      <c r="K29" s="8"/>
      <c r="L29" s="8"/>
    </row>
    <row r="30" spans="1:12" ht="12" customHeight="1" x14ac:dyDescent="0.2">
      <c r="A30" s="8"/>
      <c r="B30" s="8"/>
      <c r="C30" s="11"/>
      <c r="D30" s="8" t="s">
        <v>52</v>
      </c>
      <c r="E30" s="17"/>
      <c r="F30" s="9" t="s">
        <v>17</v>
      </c>
      <c r="G30" s="8"/>
      <c r="H30" s="8"/>
      <c r="I30" s="8"/>
      <c r="J30" s="33">
        <v>10000000</v>
      </c>
      <c r="K30" s="8"/>
      <c r="L30" s="8"/>
    </row>
    <row r="31" spans="1:12" ht="12" customHeight="1" x14ac:dyDescent="0.2">
      <c r="A31" s="8"/>
      <c r="B31" s="8"/>
      <c r="C31" s="11"/>
      <c r="D31" s="8" t="s">
        <v>53</v>
      </c>
      <c r="E31" s="17"/>
      <c r="F31" s="9" t="s">
        <v>13</v>
      </c>
      <c r="G31" s="8"/>
      <c r="H31" s="8"/>
      <c r="I31" s="8"/>
      <c r="J31" s="33">
        <v>5</v>
      </c>
      <c r="K31" s="8"/>
      <c r="L31" s="8"/>
    </row>
    <row r="32" spans="1:12" ht="12" customHeight="1" x14ac:dyDescent="0.2">
      <c r="A32" s="8"/>
      <c r="B32" s="8"/>
      <c r="C32" s="11"/>
      <c r="D32" s="8" t="s">
        <v>55</v>
      </c>
      <c r="E32" s="17"/>
      <c r="F32" s="9" t="s">
        <v>67</v>
      </c>
      <c r="G32" s="8"/>
      <c r="H32" s="8"/>
      <c r="I32" s="8"/>
      <c r="J32" s="33">
        <v>4</v>
      </c>
      <c r="K32" s="8"/>
      <c r="L32" s="8"/>
    </row>
    <row r="33" spans="1:12" ht="12" customHeight="1" x14ac:dyDescent="0.2">
      <c r="A33" s="8"/>
      <c r="B33" s="8"/>
      <c r="C33" s="11"/>
      <c r="D33" s="8" t="s">
        <v>56</v>
      </c>
      <c r="E33" s="17"/>
      <c r="F33" s="9" t="s">
        <v>3</v>
      </c>
      <c r="G33" s="8"/>
      <c r="H33" s="8"/>
      <c r="I33" s="8"/>
      <c r="J33" s="21">
        <v>0.9</v>
      </c>
      <c r="K33" s="8"/>
      <c r="L33" s="8"/>
    </row>
    <row r="34" spans="1:12" ht="12" customHeight="1" x14ac:dyDescent="0.2">
      <c r="A34" s="8"/>
      <c r="B34" s="8"/>
      <c r="C34" s="11"/>
      <c r="D34" s="8"/>
      <c r="E34" s="17"/>
      <c r="F34" s="9"/>
      <c r="G34" s="8"/>
      <c r="H34" s="8"/>
      <c r="I34" s="8"/>
      <c r="J34" s="8"/>
      <c r="K34" s="8"/>
      <c r="L34" s="8"/>
    </row>
    <row r="35" spans="1:12" ht="12" customHeight="1" x14ac:dyDescent="0.2">
      <c r="A35" s="8"/>
      <c r="B35" s="8"/>
      <c r="C35" s="11" t="s">
        <v>12</v>
      </c>
      <c r="D35" s="8"/>
      <c r="E35" s="17"/>
      <c r="F35" s="9"/>
      <c r="G35" s="8"/>
      <c r="H35" s="8"/>
      <c r="I35" s="8"/>
      <c r="J35" s="8"/>
      <c r="K35" s="8"/>
      <c r="L35" s="8"/>
    </row>
    <row r="36" spans="1:12" ht="12" customHeight="1" x14ac:dyDescent="0.2">
      <c r="A36" s="8"/>
      <c r="B36" s="8"/>
      <c r="C36" s="11"/>
      <c r="D36" s="8" t="s">
        <v>10</v>
      </c>
      <c r="E36" s="17"/>
      <c r="F36" s="9" t="s">
        <v>68</v>
      </c>
      <c r="G36" s="8"/>
      <c r="H36" s="8"/>
      <c r="I36" s="8"/>
      <c r="J36" s="21">
        <v>0.1</v>
      </c>
      <c r="K36" s="8"/>
      <c r="L36" s="8"/>
    </row>
    <row r="37" spans="1:12" ht="12" customHeight="1" x14ac:dyDescent="0.2">
      <c r="A37" s="8"/>
      <c r="B37" s="8"/>
      <c r="C37" s="11"/>
      <c r="D37" s="8" t="s">
        <v>5</v>
      </c>
      <c r="E37" s="17"/>
      <c r="F37" s="9" t="s">
        <v>69</v>
      </c>
      <c r="G37" s="8"/>
      <c r="H37" s="8"/>
      <c r="I37" s="8"/>
      <c r="J37" s="21">
        <v>0.3</v>
      </c>
      <c r="K37" s="8"/>
      <c r="L37" s="8"/>
    </row>
    <row r="38" spans="1:12" ht="12" customHeight="1" x14ac:dyDescent="0.2">
      <c r="A38" s="8"/>
      <c r="B38" s="8"/>
      <c r="C38" s="11"/>
      <c r="D38" s="8" t="s">
        <v>57</v>
      </c>
      <c r="E38" s="17"/>
      <c r="F38" s="9" t="s">
        <v>69</v>
      </c>
      <c r="G38" s="8"/>
      <c r="H38" s="8"/>
      <c r="I38" s="8"/>
      <c r="J38" s="21">
        <v>0.12</v>
      </c>
      <c r="K38" s="8"/>
      <c r="L38" s="8"/>
    </row>
    <row r="39" spans="1:12" ht="12" customHeight="1" x14ac:dyDescent="0.2">
      <c r="A39" s="8"/>
      <c r="B39" s="8"/>
      <c r="C39" s="11"/>
      <c r="D39" s="8" t="s">
        <v>58</v>
      </c>
      <c r="E39" s="17"/>
      <c r="F39" s="9" t="s">
        <v>70</v>
      </c>
      <c r="G39" s="8"/>
      <c r="H39" s="8"/>
      <c r="I39" s="8"/>
      <c r="J39" s="21">
        <v>0.15</v>
      </c>
      <c r="K39" s="8"/>
      <c r="L39" s="8"/>
    </row>
    <row r="40" spans="1:12" ht="12" customHeight="1" x14ac:dyDescent="0.2">
      <c r="A40" s="8"/>
      <c r="B40" s="8"/>
      <c r="C40" s="11"/>
      <c r="D40" s="8"/>
      <c r="E40" s="17"/>
      <c r="F40" s="9"/>
      <c r="G40" s="8"/>
      <c r="H40" s="8"/>
      <c r="I40" s="8"/>
      <c r="J40" s="8"/>
      <c r="K40" s="8"/>
      <c r="L40" s="8"/>
    </row>
    <row r="41" spans="1:12" ht="12" customHeight="1" x14ac:dyDescent="0.2">
      <c r="A41" s="8"/>
      <c r="B41" s="8"/>
      <c r="C41" s="11" t="s">
        <v>59</v>
      </c>
      <c r="D41" s="8"/>
      <c r="E41" s="17"/>
      <c r="F41" s="9"/>
      <c r="G41" s="8"/>
      <c r="H41" s="8"/>
      <c r="I41" s="8"/>
      <c r="J41" s="8"/>
      <c r="K41" s="8"/>
      <c r="L41" s="8"/>
    </row>
    <row r="42" spans="1:12" ht="12" customHeight="1" x14ac:dyDescent="0.2">
      <c r="A42" s="8"/>
      <c r="B42" s="8"/>
      <c r="C42" s="11"/>
      <c r="D42" s="8" t="s">
        <v>60</v>
      </c>
      <c r="E42" s="17"/>
      <c r="F42" s="9" t="s">
        <v>43</v>
      </c>
      <c r="G42" s="8"/>
      <c r="H42" s="8"/>
      <c r="I42" s="8"/>
      <c r="J42" s="21">
        <v>6.5000000000000002E-2</v>
      </c>
      <c r="K42" s="8"/>
      <c r="L42" s="8"/>
    </row>
    <row r="43" spans="1:12" ht="12" customHeight="1" x14ac:dyDescent="0.2">
      <c r="A43" s="8"/>
      <c r="B43" s="8"/>
      <c r="C43" s="11"/>
      <c r="D43" s="8" t="s">
        <v>61</v>
      </c>
      <c r="E43" s="17"/>
      <c r="F43" s="9" t="s">
        <v>17</v>
      </c>
      <c r="G43" s="8"/>
      <c r="H43" s="8"/>
      <c r="I43" s="8"/>
      <c r="J43" s="33">
        <v>20000000</v>
      </c>
      <c r="K43" s="8"/>
      <c r="L43" s="8"/>
    </row>
    <row r="44" spans="1:12" ht="12" customHeight="1" x14ac:dyDescent="0.2">
      <c r="A44" s="8"/>
      <c r="B44" s="8"/>
      <c r="C44" s="11"/>
      <c r="D44" s="8" t="s">
        <v>62</v>
      </c>
      <c r="E44" s="17"/>
      <c r="F44" s="9" t="s">
        <v>42</v>
      </c>
      <c r="G44" s="8"/>
      <c r="H44" s="8"/>
      <c r="I44" s="8"/>
      <c r="J44" s="33">
        <v>2500000</v>
      </c>
      <c r="K44" s="8"/>
      <c r="L44" s="8"/>
    </row>
    <row r="45" spans="1:12" ht="12" customHeight="1" x14ac:dyDescent="0.2">
      <c r="A45" s="8"/>
      <c r="B45" s="8"/>
      <c r="C45" s="11"/>
      <c r="D45" s="8"/>
      <c r="E45" s="17"/>
      <c r="F45" s="9"/>
      <c r="G45" s="8"/>
      <c r="H45" s="8"/>
      <c r="I45" s="8"/>
      <c r="J45" s="8"/>
      <c r="K45" s="8"/>
      <c r="L45" s="8"/>
    </row>
    <row r="46" spans="1:12" ht="12" customHeight="1" x14ac:dyDescent="0.2">
      <c r="A46" s="8"/>
      <c r="B46" s="8"/>
      <c r="C46" s="11" t="s">
        <v>63</v>
      </c>
      <c r="D46" s="8"/>
      <c r="E46" s="17"/>
      <c r="F46" s="9"/>
      <c r="G46" s="8"/>
      <c r="H46" s="8"/>
      <c r="I46" s="8"/>
      <c r="J46" s="8"/>
      <c r="K46" s="8"/>
      <c r="L46" s="8"/>
    </row>
    <row r="47" spans="1:12" ht="12" customHeight="1" x14ac:dyDescent="0.2">
      <c r="A47" s="8"/>
      <c r="B47" s="8"/>
      <c r="C47" s="11"/>
      <c r="D47" s="8" t="s">
        <v>64</v>
      </c>
      <c r="E47" s="17"/>
      <c r="F47" s="9" t="s">
        <v>17</v>
      </c>
      <c r="G47" s="8"/>
      <c r="H47" s="8"/>
      <c r="I47" s="8"/>
      <c r="J47" s="33">
        <v>30000000</v>
      </c>
      <c r="K47" s="8"/>
      <c r="L47" s="8"/>
    </row>
    <row r="48" spans="1:12" ht="12" customHeight="1" x14ac:dyDescent="0.2">
      <c r="A48" s="8"/>
      <c r="B48" s="8"/>
      <c r="C48" s="11"/>
      <c r="D48" s="8" t="s">
        <v>65</v>
      </c>
      <c r="E48" s="17"/>
      <c r="F48" s="9" t="s">
        <v>17</v>
      </c>
      <c r="G48" s="8"/>
      <c r="H48" s="8"/>
      <c r="I48" s="8"/>
      <c r="J48" s="46">
        <f>J30*J33</f>
        <v>9000000</v>
      </c>
      <c r="K48" s="8"/>
      <c r="L48" s="8"/>
    </row>
    <row r="49" spans="1:12" ht="12" customHeight="1" x14ac:dyDescent="0.2">
      <c r="A49" s="8"/>
      <c r="B49" s="8"/>
      <c r="C49" s="11"/>
      <c r="D49" s="8" t="s">
        <v>66</v>
      </c>
      <c r="E49" s="17"/>
      <c r="F49" s="9" t="s">
        <v>67</v>
      </c>
      <c r="G49" s="8"/>
      <c r="H49" s="8"/>
      <c r="I49" s="8"/>
      <c r="J49" s="8">
        <f>J32</f>
        <v>4</v>
      </c>
      <c r="K49" s="8"/>
      <c r="L49" s="8"/>
    </row>
    <row r="50" spans="1:12" ht="12" customHeight="1" x14ac:dyDescent="0.2">
      <c r="A50" s="8"/>
      <c r="B50" s="8"/>
      <c r="C50" s="11"/>
      <c r="D50" s="8"/>
      <c r="E50" s="17"/>
      <c r="F50" s="9"/>
      <c r="G50" s="8"/>
      <c r="H50" s="8"/>
      <c r="I50" s="8"/>
      <c r="J50" s="8"/>
      <c r="K50" s="8"/>
      <c r="L50" s="8"/>
    </row>
    <row r="51" spans="1:12" ht="12" customHeight="1" x14ac:dyDescent="0.2">
      <c r="A51" s="8"/>
      <c r="B51" s="8"/>
      <c r="C51" s="11" t="s">
        <v>71</v>
      </c>
      <c r="D51" s="8"/>
      <c r="E51" s="17"/>
      <c r="F51" s="9"/>
      <c r="G51" s="8"/>
      <c r="H51" s="8"/>
      <c r="I51" s="8"/>
      <c r="J51" s="8"/>
      <c r="K51" s="8"/>
      <c r="L51" s="8"/>
    </row>
    <row r="52" spans="1:12" ht="12" customHeight="1" x14ac:dyDescent="0.2">
      <c r="A52" s="8"/>
      <c r="B52" s="8"/>
      <c r="C52" s="11"/>
      <c r="D52" s="8" t="s">
        <v>72</v>
      </c>
      <c r="E52" s="17"/>
      <c r="F52" s="9" t="s">
        <v>17</v>
      </c>
      <c r="G52" s="8"/>
      <c r="H52" s="8"/>
      <c r="I52" s="8"/>
      <c r="J52" s="33">
        <v>4000000</v>
      </c>
      <c r="K52" s="8"/>
      <c r="L52" s="8"/>
    </row>
    <row r="53" spans="1:12" ht="12" customHeight="1" x14ac:dyDescent="0.2">
      <c r="A53" s="8"/>
      <c r="B53" s="8"/>
      <c r="C53" s="11"/>
      <c r="D53" s="8"/>
      <c r="E53" s="17"/>
      <c r="F53" s="9"/>
      <c r="G53" s="8"/>
      <c r="H53" s="8"/>
      <c r="I53" s="8"/>
      <c r="J53" s="8"/>
      <c r="K53" s="8"/>
      <c r="L53" s="8"/>
    </row>
    <row r="54" spans="1:12" ht="12" customHeight="1" x14ac:dyDescent="0.2">
      <c r="A54" s="8"/>
      <c r="B54" s="8"/>
      <c r="C54" s="11" t="s">
        <v>73</v>
      </c>
      <c r="D54" s="8"/>
      <c r="E54" s="17"/>
      <c r="F54" s="9"/>
      <c r="G54" s="8"/>
      <c r="H54" s="8"/>
      <c r="I54" s="8"/>
      <c r="J54" s="8"/>
      <c r="K54" s="8"/>
      <c r="L54" s="8"/>
    </row>
    <row r="55" spans="1:12" ht="12" customHeight="1" x14ac:dyDescent="0.2">
      <c r="A55" s="8"/>
      <c r="B55" s="8"/>
      <c r="C55" s="11"/>
      <c r="D55" s="8" t="s">
        <v>74</v>
      </c>
      <c r="E55" s="17"/>
      <c r="F55" s="9" t="s">
        <v>17</v>
      </c>
      <c r="G55" s="8"/>
      <c r="H55" s="8"/>
      <c r="I55" s="8"/>
      <c r="J55" s="33">
        <v>3000000</v>
      </c>
      <c r="K55" s="8"/>
      <c r="L55" s="8"/>
    </row>
    <row r="56" spans="1:12" ht="12" customHeight="1" x14ac:dyDescent="0.2">
      <c r="A56" s="8"/>
      <c r="B56" s="8"/>
      <c r="C56" s="11"/>
      <c r="D56" s="8" t="s">
        <v>10</v>
      </c>
      <c r="E56" s="17"/>
      <c r="F56" s="9" t="s">
        <v>17</v>
      </c>
      <c r="G56" s="8"/>
      <c r="H56" s="8"/>
      <c r="I56" s="8"/>
      <c r="J56" s="33">
        <v>3000000</v>
      </c>
      <c r="K56" s="8"/>
      <c r="L56" s="8"/>
    </row>
    <row r="57" spans="1:12" ht="12" customHeight="1" x14ac:dyDescent="0.2">
      <c r="A57" s="8"/>
      <c r="B57" s="8"/>
      <c r="C57" s="11"/>
      <c r="D57" s="8" t="s">
        <v>5</v>
      </c>
      <c r="E57" s="17"/>
      <c r="F57" s="9" t="s">
        <v>17</v>
      </c>
      <c r="G57" s="8"/>
      <c r="H57" s="8"/>
      <c r="I57" s="8"/>
      <c r="J57" s="33">
        <v>4000000</v>
      </c>
      <c r="K57" s="8"/>
      <c r="L57" s="8"/>
    </row>
    <row r="58" spans="1:12" ht="12" customHeight="1" x14ac:dyDescent="0.2">
      <c r="A58" s="8"/>
      <c r="B58" s="8"/>
      <c r="C58" s="11"/>
      <c r="D58" s="8" t="s">
        <v>75</v>
      </c>
      <c r="E58" s="17"/>
      <c r="F58" s="9" t="s">
        <v>17</v>
      </c>
      <c r="G58" s="8"/>
      <c r="H58" s="8"/>
      <c r="I58" s="8"/>
      <c r="J58" s="8">
        <f>J26</f>
        <v>40000000</v>
      </c>
      <c r="K58" s="8"/>
      <c r="L58" s="8"/>
    </row>
    <row r="59" spans="1:12" ht="12" customHeight="1" x14ac:dyDescent="0.2">
      <c r="A59" s="8"/>
      <c r="B59" s="8"/>
      <c r="C59" s="11"/>
      <c r="D59" s="8"/>
      <c r="E59" s="17"/>
      <c r="F59" s="9"/>
      <c r="G59" s="8"/>
      <c r="H59" s="8"/>
      <c r="I59" s="8"/>
      <c r="J59" s="8"/>
      <c r="K59" s="8"/>
      <c r="L59" s="8"/>
    </row>
    <row r="60" spans="1:12" ht="12" customHeight="1" x14ac:dyDescent="0.2">
      <c r="A60" s="8"/>
      <c r="B60" s="8"/>
      <c r="C60" s="11"/>
      <c r="D60" s="8"/>
      <c r="E60" s="8"/>
      <c r="F60" s="9"/>
      <c r="G60" s="8"/>
      <c r="H60" s="8"/>
      <c r="I60" s="8"/>
      <c r="J60" s="8"/>
      <c r="K60" s="8"/>
      <c r="L60" s="8"/>
    </row>
    <row r="61" spans="1:12" ht="12" customHeight="1" x14ac:dyDescent="0.2">
      <c r="A61" s="8"/>
      <c r="B61" s="8"/>
      <c r="C61" s="11"/>
      <c r="D61" s="8"/>
      <c r="E61" s="8"/>
      <c r="F61" s="9"/>
      <c r="G61" s="8"/>
      <c r="H61" s="8"/>
      <c r="I61" s="8"/>
      <c r="J61" s="8"/>
      <c r="K61" s="8"/>
      <c r="L61" s="8"/>
    </row>
    <row r="62" spans="1:12" ht="12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 spans="1:12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W146"/>
  <sheetViews>
    <sheetView showGridLines="0" zoomScaleNormal="100" zoomScalePageLayoutView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D5" sqref="D5"/>
    </sheetView>
  </sheetViews>
  <sheetFormatPr defaultColWidth="8.85546875" defaultRowHeight="12.75" x14ac:dyDescent="0.2"/>
  <cols>
    <col min="1" max="1" width="7.28515625" style="3" customWidth="1"/>
    <col min="2" max="2" width="4.7109375" style="3" customWidth="1"/>
    <col min="3" max="3" width="3.7109375" style="18" customWidth="1"/>
    <col min="4" max="4" width="40.7109375" style="18" customWidth="1"/>
    <col min="5" max="6" width="12.7109375" style="3" customWidth="1"/>
    <col min="7" max="7" width="3.7109375" style="3" customWidth="1"/>
    <col min="8" max="8" width="10.7109375" style="19" customWidth="1"/>
    <col min="9" max="9" width="12.7109375" style="3" customWidth="1"/>
    <col min="10" max="10" width="15.7109375" style="3" customWidth="1"/>
    <col min="11" max="11" width="3.7109375" style="3" customWidth="1"/>
    <col min="12" max="23" width="12.7109375" style="3" customWidth="1"/>
    <col min="24" max="16384" width="8.85546875" style="3"/>
  </cols>
  <sheetData>
    <row r="1" spans="1:23" ht="23.25" x14ac:dyDescent="0.35">
      <c r="A1" s="24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5" customFormat="1" ht="18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" customHeight="1" x14ac:dyDescent="0.25">
      <c r="A3" s="6">
        <v>2</v>
      </c>
      <c r="B3" s="2"/>
      <c r="C3" s="7" t="s">
        <v>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s="61" customFormat="1" ht="12" customHeight="1" x14ac:dyDescent="0.25">
      <c r="A4" s="61" t="s">
        <v>136</v>
      </c>
    </row>
    <row r="5" spans="1:23" s="61" customFormat="1" ht="12" customHeight="1" x14ac:dyDescent="0.25"/>
    <row r="6" spans="1:23" s="8" customFormat="1" ht="12" customHeight="1" x14ac:dyDescent="0.25">
      <c r="D6" s="10"/>
      <c r="E6" s="11" t="s">
        <v>18</v>
      </c>
      <c r="H6" s="9"/>
      <c r="L6" s="12"/>
      <c r="M6" s="41"/>
      <c r="N6" s="12">
        <f t="shared" ref="N6:W6" si="0">M7+1</f>
        <v>42370</v>
      </c>
      <c r="O6" s="28">
        <f t="shared" si="0"/>
        <v>42736</v>
      </c>
      <c r="P6" s="12">
        <f t="shared" si="0"/>
        <v>43101</v>
      </c>
      <c r="Q6" s="12">
        <f t="shared" si="0"/>
        <v>43466</v>
      </c>
      <c r="R6" s="12">
        <f t="shared" si="0"/>
        <v>43831</v>
      </c>
      <c r="S6" s="12">
        <f t="shared" si="0"/>
        <v>44197</v>
      </c>
      <c r="T6" s="12">
        <f t="shared" si="0"/>
        <v>44562</v>
      </c>
      <c r="U6" s="12">
        <f t="shared" si="0"/>
        <v>44927</v>
      </c>
      <c r="V6" s="12">
        <f t="shared" si="0"/>
        <v>45292</v>
      </c>
      <c r="W6" s="12">
        <f t="shared" si="0"/>
        <v>45658</v>
      </c>
    </row>
    <row r="7" spans="1:23" s="8" customFormat="1" ht="12" customHeight="1" x14ac:dyDescent="0.25">
      <c r="D7" s="10"/>
      <c r="E7" s="11" t="s">
        <v>19</v>
      </c>
      <c r="H7" s="9" t="s">
        <v>0</v>
      </c>
      <c r="J7" s="8" t="s">
        <v>1</v>
      </c>
      <c r="L7" s="12"/>
      <c r="M7" s="41">
        <v>42369</v>
      </c>
      <c r="N7" s="12">
        <f t="shared" ref="N7:W7" si="1">EOMONTH(M7,12)</f>
        <v>42735</v>
      </c>
      <c r="O7" s="28">
        <f t="shared" si="1"/>
        <v>43100</v>
      </c>
      <c r="P7" s="12">
        <f t="shared" si="1"/>
        <v>43465</v>
      </c>
      <c r="Q7" s="12">
        <f t="shared" si="1"/>
        <v>43830</v>
      </c>
      <c r="R7" s="12">
        <f t="shared" si="1"/>
        <v>44196</v>
      </c>
      <c r="S7" s="12">
        <f t="shared" si="1"/>
        <v>44561</v>
      </c>
      <c r="T7" s="12">
        <f t="shared" si="1"/>
        <v>44926</v>
      </c>
      <c r="U7" s="12">
        <f t="shared" si="1"/>
        <v>45291</v>
      </c>
      <c r="V7" s="12">
        <f t="shared" si="1"/>
        <v>45657</v>
      </c>
      <c r="W7" s="12">
        <f t="shared" si="1"/>
        <v>46022</v>
      </c>
    </row>
    <row r="8" spans="1:23" s="8" customFormat="1" ht="12" customHeight="1" x14ac:dyDescent="0.2">
      <c r="E8" s="11" t="s">
        <v>77</v>
      </c>
      <c r="H8" s="9"/>
      <c r="M8" s="8">
        <v>0</v>
      </c>
      <c r="N8" s="8">
        <f t="shared" ref="N8:W8" si="2">M8+1</f>
        <v>1</v>
      </c>
      <c r="O8" s="13">
        <f t="shared" si="2"/>
        <v>2</v>
      </c>
      <c r="P8" s="8">
        <f t="shared" si="2"/>
        <v>3</v>
      </c>
      <c r="Q8" s="8">
        <f t="shared" si="2"/>
        <v>4</v>
      </c>
      <c r="R8" s="8">
        <f t="shared" si="2"/>
        <v>5</v>
      </c>
      <c r="S8" s="8">
        <f t="shared" si="2"/>
        <v>6</v>
      </c>
      <c r="T8" s="8">
        <f t="shared" si="2"/>
        <v>7</v>
      </c>
      <c r="U8" s="8">
        <f t="shared" si="2"/>
        <v>8</v>
      </c>
      <c r="V8" s="8">
        <f t="shared" si="2"/>
        <v>9</v>
      </c>
      <c r="W8" s="8">
        <f t="shared" si="2"/>
        <v>10</v>
      </c>
    </row>
    <row r="9" spans="1:23" s="8" customFormat="1" ht="12" customHeight="1" x14ac:dyDescent="0.2">
      <c r="E9" s="11"/>
      <c r="H9" s="9"/>
      <c r="O9" s="13"/>
    </row>
    <row r="10" spans="1:23" s="8" customFormat="1" ht="12" customHeight="1" x14ac:dyDescent="0.2">
      <c r="E10" s="11"/>
      <c r="H10" s="9"/>
      <c r="L10" s="22"/>
      <c r="M10" s="22"/>
      <c r="N10" s="22"/>
      <c r="O10" s="29"/>
      <c r="P10" s="22"/>
      <c r="Q10" s="22"/>
      <c r="R10" s="22"/>
      <c r="S10" s="22"/>
      <c r="T10" s="22"/>
      <c r="U10" s="22"/>
      <c r="V10" s="22"/>
      <c r="W10" s="22"/>
    </row>
    <row r="11" spans="1:23" ht="12" customHeight="1" x14ac:dyDescent="0.2">
      <c r="A11" s="15">
        <f>MAX(A$3:A10)+0.01</f>
        <v>2.0099999999999998</v>
      </c>
      <c r="B11" s="15"/>
      <c r="C11" s="15" t="s">
        <v>78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30"/>
      <c r="P11" s="15"/>
      <c r="Q11" s="15"/>
      <c r="R11" s="15"/>
      <c r="S11" s="15"/>
      <c r="T11" s="15"/>
      <c r="U11" s="15"/>
      <c r="V11" s="15"/>
      <c r="W11" s="15"/>
    </row>
    <row r="12" spans="1:23" s="16" customFormat="1" ht="12" customHeight="1" x14ac:dyDescent="0.2">
      <c r="A12" s="13"/>
      <c r="B12" s="13"/>
      <c r="C12" s="31"/>
      <c r="D12" s="13"/>
      <c r="E12" s="13"/>
      <c r="F12" s="13"/>
      <c r="G12" s="13"/>
      <c r="H12" s="14"/>
      <c r="I12" s="35"/>
      <c r="J12" s="3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2" customHeight="1" x14ac:dyDescent="0.2">
      <c r="A13" s="8"/>
      <c r="B13" s="8"/>
      <c r="C13" s="11"/>
      <c r="D13" s="8"/>
      <c r="E13" s="17"/>
      <c r="F13" s="8"/>
      <c r="G13" s="8"/>
      <c r="H13" s="9"/>
      <c r="I13" s="34"/>
      <c r="J13" s="34"/>
      <c r="K13" s="8"/>
      <c r="L13" s="8"/>
      <c r="M13" s="8"/>
      <c r="N13" s="8"/>
      <c r="O13" s="13"/>
      <c r="P13" s="8"/>
      <c r="Q13" s="8"/>
      <c r="R13" s="8"/>
      <c r="S13" s="8"/>
      <c r="T13" s="8"/>
      <c r="U13" s="8"/>
      <c r="V13" s="8"/>
      <c r="W13" s="8"/>
    </row>
    <row r="14" spans="1:23" ht="12" customHeight="1" x14ac:dyDescent="0.2">
      <c r="A14" s="8"/>
      <c r="B14" s="8"/>
      <c r="C14" s="11"/>
      <c r="D14" s="8" t="s">
        <v>40</v>
      </c>
      <c r="E14" s="48">
        <f>Assumptions!J15</f>
        <v>3000000</v>
      </c>
      <c r="F14" s="47">
        <f>Assumptions!J16</f>
        <v>0.08</v>
      </c>
      <c r="G14" s="8"/>
      <c r="H14" s="9" t="s">
        <v>17</v>
      </c>
      <c r="I14" s="34"/>
      <c r="J14" s="42">
        <f>SUM(N14:W14)</f>
        <v>360085658.21439999</v>
      </c>
      <c r="K14" s="8"/>
      <c r="L14" s="8"/>
      <c r="M14" s="8"/>
      <c r="N14" s="46">
        <f>Assumptions!J14</f>
        <v>25000000</v>
      </c>
      <c r="O14" s="43">
        <f t="shared" ref="O14:W14" si="3">MIN(N14+$E14,N14*(1+$F14))</f>
        <v>27000000</v>
      </c>
      <c r="P14" s="42">
        <f t="shared" si="3"/>
        <v>29160000.000000004</v>
      </c>
      <c r="Q14" s="42">
        <f t="shared" si="3"/>
        <v>31492800.000000007</v>
      </c>
      <c r="R14" s="42">
        <f t="shared" si="3"/>
        <v>34012224.000000007</v>
      </c>
      <c r="S14" s="42">
        <f t="shared" si="3"/>
        <v>36733201.920000009</v>
      </c>
      <c r="T14" s="42">
        <f t="shared" si="3"/>
        <v>39671858.073600009</v>
      </c>
      <c r="U14" s="42">
        <f t="shared" si="3"/>
        <v>42671858.073600009</v>
      </c>
      <c r="V14" s="42">
        <f t="shared" si="3"/>
        <v>45671858.073600009</v>
      </c>
      <c r="W14" s="42">
        <f t="shared" si="3"/>
        <v>48671858.073600009</v>
      </c>
    </row>
    <row r="15" spans="1:23" ht="12" customHeight="1" x14ac:dyDescent="0.2">
      <c r="A15" s="8"/>
      <c r="B15" s="8"/>
      <c r="C15" s="11"/>
      <c r="D15" s="8"/>
      <c r="E15" s="17"/>
      <c r="F15" s="8"/>
      <c r="G15" s="8"/>
      <c r="H15" s="9"/>
      <c r="I15" s="34"/>
      <c r="J15" s="42"/>
      <c r="K15" s="8"/>
      <c r="L15" s="8"/>
      <c r="M15" s="8"/>
      <c r="N15" s="8"/>
      <c r="O15" s="13"/>
      <c r="P15" s="8"/>
      <c r="Q15" s="8"/>
      <c r="R15" s="8"/>
      <c r="S15" s="8"/>
      <c r="T15" s="8"/>
      <c r="U15" s="8"/>
      <c r="V15" s="8"/>
      <c r="W15" s="8"/>
    </row>
    <row r="16" spans="1:23" ht="12" customHeight="1" x14ac:dyDescent="0.2">
      <c r="A16" s="8"/>
      <c r="B16" s="8"/>
      <c r="C16" s="11"/>
      <c r="D16" s="8" t="s">
        <v>46</v>
      </c>
      <c r="E16" s="17"/>
      <c r="F16" s="47">
        <f>Assumptions!J19</f>
        <v>0.6</v>
      </c>
      <c r="G16" s="8"/>
      <c r="H16" s="9" t="s">
        <v>17</v>
      </c>
      <c r="I16" s="34"/>
      <c r="J16" s="42">
        <f>SUM(N16:W16)</f>
        <v>-216051394.92864007</v>
      </c>
      <c r="K16" s="8"/>
      <c r="L16" s="8"/>
      <c r="M16" s="8"/>
      <c r="N16" s="42">
        <f t="shared" ref="N16:W16" si="4">-N14*$F16</f>
        <v>-15000000</v>
      </c>
      <c r="O16" s="43">
        <f t="shared" si="4"/>
        <v>-16200000</v>
      </c>
      <c r="P16" s="42">
        <f t="shared" si="4"/>
        <v>-17496000</v>
      </c>
      <c r="Q16" s="42">
        <f t="shared" si="4"/>
        <v>-18895680.000000004</v>
      </c>
      <c r="R16" s="42">
        <f t="shared" si="4"/>
        <v>-20407334.400000002</v>
      </c>
      <c r="S16" s="42">
        <f t="shared" si="4"/>
        <v>-22039921.152000006</v>
      </c>
      <c r="T16" s="42">
        <f t="shared" si="4"/>
        <v>-23803114.844160005</v>
      </c>
      <c r="U16" s="42">
        <f t="shared" si="4"/>
        <v>-25603114.844160005</v>
      </c>
      <c r="V16" s="42">
        <f t="shared" si="4"/>
        <v>-27403114.844160005</v>
      </c>
      <c r="W16" s="42">
        <f t="shared" si="4"/>
        <v>-29203114.844160005</v>
      </c>
    </row>
    <row r="17" spans="1:23" ht="12" customHeight="1" x14ac:dyDescent="0.2">
      <c r="A17" s="8"/>
      <c r="B17" s="8"/>
      <c r="C17" s="11"/>
      <c r="D17" s="8" t="s">
        <v>49</v>
      </c>
      <c r="E17" s="17"/>
      <c r="F17" s="47">
        <f>Assumptions!J23</f>
        <v>7.0000000000000007E-2</v>
      </c>
      <c r="G17" s="8"/>
      <c r="H17" s="9" t="s">
        <v>17</v>
      </c>
      <c r="I17" s="34"/>
      <c r="J17" s="42">
        <f>SUM(N17:W17)</f>
        <v>-41449343.883838519</v>
      </c>
      <c r="K17" s="8"/>
      <c r="L17" s="8"/>
      <c r="M17" s="8"/>
      <c r="N17" s="46">
        <f>-Assumptions!J22</f>
        <v>-3000000</v>
      </c>
      <c r="O17" s="43">
        <f t="shared" ref="O17:W17" si="5">N17*(1+$F17)</f>
        <v>-3210000</v>
      </c>
      <c r="P17" s="42">
        <f t="shared" si="5"/>
        <v>-3434700</v>
      </c>
      <c r="Q17" s="42">
        <f t="shared" si="5"/>
        <v>-3675129</v>
      </c>
      <c r="R17" s="42">
        <f t="shared" si="5"/>
        <v>-3932388.0300000003</v>
      </c>
      <c r="S17" s="42">
        <f t="shared" si="5"/>
        <v>-4207655.1921000006</v>
      </c>
      <c r="T17" s="42">
        <f t="shared" si="5"/>
        <v>-4502191.0555470008</v>
      </c>
      <c r="U17" s="42">
        <f t="shared" si="5"/>
        <v>-4817344.4294352913</v>
      </c>
      <c r="V17" s="42">
        <f t="shared" si="5"/>
        <v>-5154558.5394957624</v>
      </c>
      <c r="W17" s="42">
        <f t="shared" si="5"/>
        <v>-5515377.6372604659</v>
      </c>
    </row>
    <row r="18" spans="1:23" ht="12" customHeight="1" x14ac:dyDescent="0.2">
      <c r="A18" s="8"/>
      <c r="B18" s="8"/>
      <c r="C18" s="11"/>
      <c r="D18" s="8"/>
      <c r="E18" s="17"/>
      <c r="F18" s="8"/>
      <c r="G18" s="8"/>
      <c r="H18" s="9"/>
      <c r="I18" s="34"/>
      <c r="J18" s="42"/>
      <c r="K18" s="8"/>
      <c r="L18" s="8"/>
      <c r="M18" s="8"/>
      <c r="N18" s="8"/>
      <c r="O18" s="13"/>
      <c r="P18" s="8"/>
      <c r="Q18" s="8"/>
      <c r="R18" s="8"/>
      <c r="S18" s="8"/>
      <c r="T18" s="8"/>
      <c r="U18" s="8"/>
      <c r="V18" s="8"/>
      <c r="W18" s="8"/>
    </row>
    <row r="19" spans="1:23" ht="12" customHeight="1" x14ac:dyDescent="0.2">
      <c r="A19" s="8"/>
      <c r="B19" s="8"/>
      <c r="C19" s="11"/>
      <c r="D19" s="11" t="s">
        <v>79</v>
      </c>
      <c r="E19" s="17"/>
      <c r="F19" s="8"/>
      <c r="G19" s="8"/>
      <c r="H19" s="9" t="s">
        <v>17</v>
      </c>
      <c r="I19" s="34"/>
      <c r="J19" s="50">
        <f>SUM(N19:W19)</f>
        <v>102584919.40192151</v>
      </c>
      <c r="K19" s="8"/>
      <c r="L19" s="8"/>
      <c r="M19" s="8"/>
      <c r="N19" s="45">
        <f t="shared" ref="N19:W19" si="6">SUM(N14,N16:N17)</f>
        <v>7000000</v>
      </c>
      <c r="O19" s="45">
        <f t="shared" si="6"/>
        <v>7590000</v>
      </c>
      <c r="P19" s="45">
        <f t="shared" si="6"/>
        <v>8229300.0000000037</v>
      </c>
      <c r="Q19" s="45">
        <f t="shared" si="6"/>
        <v>8921991.0000000037</v>
      </c>
      <c r="R19" s="45">
        <f t="shared" si="6"/>
        <v>9672501.570000004</v>
      </c>
      <c r="S19" s="45">
        <f t="shared" si="6"/>
        <v>10485625.575900003</v>
      </c>
      <c r="T19" s="45">
        <f t="shared" si="6"/>
        <v>11366552.173893003</v>
      </c>
      <c r="U19" s="45">
        <f t="shared" si="6"/>
        <v>12251398.800004713</v>
      </c>
      <c r="V19" s="45">
        <f t="shared" si="6"/>
        <v>13114184.689944241</v>
      </c>
      <c r="W19" s="45">
        <f t="shared" si="6"/>
        <v>13953365.592179537</v>
      </c>
    </row>
    <row r="20" spans="1:23" ht="12" customHeight="1" x14ac:dyDescent="0.2">
      <c r="A20" s="8"/>
      <c r="B20" s="8"/>
      <c r="C20" s="11"/>
      <c r="D20" s="8"/>
      <c r="E20" s="17"/>
      <c r="F20" s="8"/>
      <c r="G20" s="8"/>
      <c r="H20" s="9"/>
      <c r="I20" s="34"/>
      <c r="J20" s="42"/>
      <c r="K20" s="8"/>
      <c r="L20" s="8"/>
      <c r="M20" s="8"/>
      <c r="N20" s="8"/>
      <c r="O20" s="13"/>
      <c r="P20" s="8"/>
      <c r="Q20" s="8"/>
      <c r="R20" s="8"/>
      <c r="S20" s="8"/>
      <c r="T20" s="8"/>
      <c r="U20" s="8"/>
      <c r="V20" s="8"/>
      <c r="W20" s="8"/>
    </row>
    <row r="21" spans="1:23" ht="12" customHeight="1" x14ac:dyDescent="0.2">
      <c r="A21" s="8"/>
      <c r="B21" s="8"/>
      <c r="C21" s="11"/>
      <c r="D21" s="8" t="s">
        <v>80</v>
      </c>
      <c r="E21" s="17"/>
      <c r="F21" s="8"/>
      <c r="G21" s="8"/>
      <c r="H21" s="9" t="s">
        <v>17</v>
      </c>
      <c r="I21" s="34"/>
      <c r="J21" s="42">
        <f>SUM(N21:W21)</f>
        <v>-50000000</v>
      </c>
      <c r="K21" s="8"/>
      <c r="L21" s="8"/>
      <c r="M21" s="8"/>
      <c r="N21" s="42">
        <f t="shared" ref="N21:W21" si="7">SUM(N102,N108)</f>
        <v>-4000000</v>
      </c>
      <c r="O21" s="43">
        <f t="shared" si="7"/>
        <v>-4000000</v>
      </c>
      <c r="P21" s="42">
        <f t="shared" si="7"/>
        <v>-4000000</v>
      </c>
      <c r="Q21" s="42">
        <f t="shared" si="7"/>
        <v>-4000000</v>
      </c>
      <c r="R21" s="42">
        <f t="shared" si="7"/>
        <v>-6000000</v>
      </c>
      <c r="S21" s="42">
        <f t="shared" si="7"/>
        <v>-6000000</v>
      </c>
      <c r="T21" s="42">
        <f t="shared" si="7"/>
        <v>-6000000</v>
      </c>
      <c r="U21" s="42">
        <f t="shared" si="7"/>
        <v>-6000000</v>
      </c>
      <c r="V21" s="42">
        <f t="shared" si="7"/>
        <v>-6000000</v>
      </c>
      <c r="W21" s="42">
        <f t="shared" si="7"/>
        <v>-4000000</v>
      </c>
    </row>
    <row r="22" spans="1:23" ht="12" customHeight="1" x14ac:dyDescent="0.2">
      <c r="A22" s="8"/>
      <c r="B22" s="8"/>
      <c r="C22" s="11"/>
      <c r="D22" s="8" t="s">
        <v>81</v>
      </c>
      <c r="E22" s="17"/>
      <c r="F22" s="8"/>
      <c r="G22" s="8"/>
      <c r="H22" s="9" t="s">
        <v>17</v>
      </c>
      <c r="I22" s="34"/>
      <c r="J22" s="42">
        <f>SUM(N22:W22)</f>
        <v>-5850000</v>
      </c>
      <c r="K22" s="8"/>
      <c r="L22" s="8"/>
      <c r="M22" s="8"/>
      <c r="N22" s="42">
        <f t="shared" ref="N22:W22" si="8">-N86</f>
        <v>-1300000</v>
      </c>
      <c r="O22" s="43">
        <f t="shared" si="8"/>
        <v>-1137500</v>
      </c>
      <c r="P22" s="42">
        <f t="shared" si="8"/>
        <v>-975000</v>
      </c>
      <c r="Q22" s="42">
        <f t="shared" si="8"/>
        <v>-812500</v>
      </c>
      <c r="R22" s="42">
        <f t="shared" si="8"/>
        <v>-650000</v>
      </c>
      <c r="S22" s="42">
        <f t="shared" si="8"/>
        <v>-487500</v>
      </c>
      <c r="T22" s="42">
        <f t="shared" si="8"/>
        <v>-325000</v>
      </c>
      <c r="U22" s="42">
        <f t="shared" si="8"/>
        <v>-162500</v>
      </c>
      <c r="V22" s="42">
        <f t="shared" si="8"/>
        <v>0</v>
      </c>
      <c r="W22" s="42">
        <f t="shared" si="8"/>
        <v>0</v>
      </c>
    </row>
    <row r="23" spans="1:23" ht="12" customHeight="1" x14ac:dyDescent="0.2">
      <c r="A23" s="8"/>
      <c r="B23" s="8"/>
      <c r="C23" s="11"/>
      <c r="D23" s="8"/>
      <c r="E23" s="17"/>
      <c r="F23" s="8"/>
      <c r="G23" s="8"/>
      <c r="H23" s="9"/>
      <c r="I23" s="34"/>
      <c r="J23" s="42"/>
      <c r="K23" s="8"/>
      <c r="L23" s="8"/>
      <c r="M23" s="8"/>
      <c r="N23" s="8"/>
      <c r="O23" s="13"/>
      <c r="P23" s="8"/>
      <c r="Q23" s="8"/>
      <c r="R23" s="8"/>
      <c r="S23" s="8"/>
      <c r="T23" s="8"/>
      <c r="U23" s="8"/>
      <c r="V23" s="8"/>
      <c r="W23" s="8"/>
    </row>
    <row r="24" spans="1:23" ht="12" customHeight="1" x14ac:dyDescent="0.2">
      <c r="A24" s="8"/>
      <c r="B24" s="8"/>
      <c r="C24" s="11"/>
      <c r="D24" s="8" t="s">
        <v>82</v>
      </c>
      <c r="E24" s="17"/>
      <c r="F24" s="8"/>
      <c r="G24" s="8"/>
      <c r="H24" s="9" t="s">
        <v>17</v>
      </c>
      <c r="I24" s="34"/>
      <c r="J24" s="44">
        <f>SUM(N24:W24)</f>
        <v>46734919.401921511</v>
      </c>
      <c r="K24" s="8"/>
      <c r="L24" s="8"/>
      <c r="M24" s="8"/>
      <c r="N24" s="44">
        <f t="shared" ref="N24:W24" si="9">SUM(N19,N21:N22)</f>
        <v>1700000</v>
      </c>
      <c r="O24" s="44">
        <f t="shared" si="9"/>
        <v>2452500</v>
      </c>
      <c r="P24" s="44">
        <f t="shared" si="9"/>
        <v>3254300.0000000037</v>
      </c>
      <c r="Q24" s="44">
        <f t="shared" si="9"/>
        <v>4109491.0000000037</v>
      </c>
      <c r="R24" s="44">
        <f t="shared" si="9"/>
        <v>3022501.570000004</v>
      </c>
      <c r="S24" s="44">
        <f t="shared" si="9"/>
        <v>3998125.5759000033</v>
      </c>
      <c r="T24" s="44">
        <f t="shared" si="9"/>
        <v>5041552.1738930028</v>
      </c>
      <c r="U24" s="44">
        <f t="shared" si="9"/>
        <v>6088898.8000047132</v>
      </c>
      <c r="V24" s="44">
        <f t="shared" si="9"/>
        <v>7114184.6899442412</v>
      </c>
      <c r="W24" s="44">
        <f t="shared" si="9"/>
        <v>9953365.5921795368</v>
      </c>
    </row>
    <row r="25" spans="1:23" ht="12" customHeight="1" x14ac:dyDescent="0.2">
      <c r="A25" s="8"/>
      <c r="B25" s="8"/>
      <c r="C25" s="11"/>
      <c r="D25" s="8"/>
      <c r="E25" s="17"/>
      <c r="F25" s="8"/>
      <c r="G25" s="8"/>
      <c r="H25" s="9"/>
      <c r="I25" s="34"/>
      <c r="J25" s="42"/>
      <c r="K25" s="8"/>
      <c r="L25" s="8"/>
      <c r="M25" s="8"/>
      <c r="N25" s="8"/>
      <c r="O25" s="13"/>
      <c r="P25" s="8"/>
      <c r="Q25" s="8"/>
      <c r="R25" s="8"/>
      <c r="S25" s="8"/>
      <c r="T25" s="8"/>
      <c r="U25" s="8"/>
      <c r="V25" s="8"/>
      <c r="W25" s="8"/>
    </row>
    <row r="26" spans="1:23" ht="12" customHeight="1" x14ac:dyDescent="0.2">
      <c r="A26" s="8"/>
      <c r="B26" s="8"/>
      <c r="C26" s="11"/>
      <c r="D26" s="8" t="s">
        <v>71</v>
      </c>
      <c r="E26" s="17"/>
      <c r="F26" s="8"/>
      <c r="G26" s="8"/>
      <c r="H26" s="9" t="s">
        <v>17</v>
      </c>
      <c r="I26" s="34"/>
      <c r="J26" s="42">
        <f>SUM(N26:W26)</f>
        <v>-72438479.56820178</v>
      </c>
      <c r="K26" s="8"/>
      <c r="L26" s="8"/>
      <c r="M26" s="8"/>
      <c r="N26" s="42">
        <f t="shared" ref="N26:W26" si="10">N73</f>
        <v>-4450000</v>
      </c>
      <c r="O26" s="43">
        <f t="shared" si="10"/>
        <v>-3568000</v>
      </c>
      <c r="P26" s="42">
        <f t="shared" si="10"/>
        <v>-4338725.0000000037</v>
      </c>
      <c r="Q26" s="42">
        <f t="shared" si="10"/>
        <v>-4160332.950000003</v>
      </c>
      <c r="R26" s="42">
        <f t="shared" si="10"/>
        <v>-6037050.2325000037</v>
      </c>
      <c r="S26" s="42">
        <f t="shared" si="10"/>
        <v>-6973452.2428550031</v>
      </c>
      <c r="T26" s="42">
        <f t="shared" si="10"/>
        <v>-7974492.0734612532</v>
      </c>
      <c r="U26" s="42">
        <f t="shared" si="10"/>
        <v>-9012171.8060879558</v>
      </c>
      <c r="V26" s="42">
        <f t="shared" si="10"/>
        <v>-12540766.806453312</v>
      </c>
      <c r="W26" s="42">
        <f t="shared" si="10"/>
        <v>-13383488.45684424</v>
      </c>
    </row>
    <row r="27" spans="1:23" ht="12" customHeight="1" x14ac:dyDescent="0.2">
      <c r="A27" s="8"/>
      <c r="B27" s="8"/>
      <c r="C27" s="11"/>
      <c r="D27" s="8"/>
      <c r="E27" s="17"/>
      <c r="F27" s="8"/>
      <c r="G27" s="8"/>
      <c r="H27" s="9"/>
      <c r="I27" s="34"/>
      <c r="J27" s="42"/>
      <c r="K27" s="8"/>
      <c r="L27" s="8"/>
      <c r="M27" s="8"/>
      <c r="N27" s="8"/>
      <c r="O27" s="13"/>
      <c r="P27" s="8"/>
      <c r="Q27" s="8"/>
      <c r="R27" s="8"/>
      <c r="S27" s="8"/>
      <c r="T27" s="8"/>
      <c r="U27" s="8"/>
      <c r="V27" s="8"/>
      <c r="W27" s="8"/>
    </row>
    <row r="28" spans="1:23" ht="12" customHeight="1" x14ac:dyDescent="0.2">
      <c r="A28" s="8"/>
      <c r="B28" s="8"/>
      <c r="C28" s="11"/>
      <c r="D28" s="8" t="s">
        <v>15</v>
      </c>
      <c r="E28" s="17"/>
      <c r="F28" s="8"/>
      <c r="G28" s="8"/>
      <c r="H28" s="9" t="s">
        <v>17</v>
      </c>
      <c r="I28" s="34"/>
      <c r="J28" s="44">
        <f>SUM(N28:W28)</f>
        <v>-25703560.16628027</v>
      </c>
      <c r="K28" s="8"/>
      <c r="L28" s="8"/>
      <c r="M28" s="8"/>
      <c r="N28" s="44">
        <f t="shared" ref="N28:W28" si="11">SUM(N24,N26)</f>
        <v>-2750000</v>
      </c>
      <c r="O28" s="44">
        <f t="shared" si="11"/>
        <v>-1115500</v>
      </c>
      <c r="P28" s="44">
        <f t="shared" si="11"/>
        <v>-1084425</v>
      </c>
      <c r="Q28" s="44">
        <f t="shared" si="11"/>
        <v>-50841.949999999255</v>
      </c>
      <c r="R28" s="44">
        <f t="shared" si="11"/>
        <v>-3014548.6624999996</v>
      </c>
      <c r="S28" s="44">
        <f t="shared" si="11"/>
        <v>-2975326.6669549998</v>
      </c>
      <c r="T28" s="44">
        <f t="shared" si="11"/>
        <v>-2932939.8995682504</v>
      </c>
      <c r="U28" s="44">
        <f t="shared" si="11"/>
        <v>-2923273.0060832426</v>
      </c>
      <c r="V28" s="44">
        <f t="shared" si="11"/>
        <v>-5426582.1165090706</v>
      </c>
      <c r="W28" s="44">
        <f t="shared" si="11"/>
        <v>-3430122.8646647036</v>
      </c>
    </row>
    <row r="29" spans="1:23" ht="12" customHeight="1" x14ac:dyDescent="0.2">
      <c r="A29" s="8"/>
      <c r="B29" s="8"/>
      <c r="C29" s="11"/>
      <c r="D29" s="8"/>
      <c r="E29" s="17"/>
      <c r="F29" s="8"/>
      <c r="G29" s="8"/>
      <c r="H29" s="9"/>
      <c r="I29" s="34"/>
      <c r="J29" s="42"/>
      <c r="K29" s="8"/>
      <c r="L29" s="8"/>
      <c r="M29" s="8"/>
      <c r="N29" s="8"/>
      <c r="O29" s="13"/>
      <c r="P29" s="8"/>
      <c r="Q29" s="8"/>
      <c r="R29" s="8"/>
      <c r="S29" s="8"/>
      <c r="T29" s="8"/>
      <c r="U29" s="8"/>
      <c r="V29" s="8"/>
      <c r="W29" s="8"/>
    </row>
    <row r="30" spans="1:23" ht="12" customHeight="1" x14ac:dyDescent="0.2">
      <c r="A30" s="8"/>
      <c r="B30" s="8"/>
      <c r="C30" s="11"/>
      <c r="D30" s="8"/>
      <c r="E30" s="17"/>
      <c r="F30" s="8"/>
      <c r="G30" s="8"/>
      <c r="H30" s="9"/>
      <c r="I30" s="34"/>
      <c r="J30" s="42"/>
      <c r="K30" s="8"/>
      <c r="L30" s="8"/>
      <c r="M30" s="8"/>
      <c r="N30" s="8"/>
      <c r="O30" s="13"/>
      <c r="P30" s="8"/>
      <c r="Q30" s="8"/>
      <c r="R30" s="8"/>
      <c r="S30" s="8"/>
      <c r="T30" s="8"/>
      <c r="U30" s="8"/>
      <c r="V30" s="8"/>
      <c r="W30" s="8"/>
    </row>
    <row r="31" spans="1:23" ht="12" customHeight="1" x14ac:dyDescent="0.2">
      <c r="A31" s="15">
        <f>MAX(A$3:A30)+0.01</f>
        <v>2.0199999999999996</v>
      </c>
      <c r="B31" s="15"/>
      <c r="C31" s="15" t="s">
        <v>83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30"/>
      <c r="P31" s="15"/>
      <c r="Q31" s="15"/>
      <c r="R31" s="15"/>
      <c r="S31" s="15"/>
      <c r="T31" s="15"/>
      <c r="U31" s="15"/>
      <c r="V31" s="15"/>
      <c r="W31" s="15"/>
    </row>
    <row r="32" spans="1:23" ht="12" customHeight="1" x14ac:dyDescent="0.2">
      <c r="A32" s="8"/>
      <c r="B32" s="8"/>
      <c r="C32" s="11"/>
      <c r="D32" s="8"/>
      <c r="E32" s="17"/>
      <c r="F32" s="8"/>
      <c r="G32" s="8"/>
      <c r="H32" s="9"/>
      <c r="I32" s="8"/>
      <c r="J32" s="8"/>
      <c r="K32" s="8"/>
      <c r="L32" s="8"/>
      <c r="M32" s="8"/>
      <c r="N32" s="8"/>
      <c r="O32" s="13"/>
      <c r="P32" s="8"/>
      <c r="Q32" s="8"/>
      <c r="R32" s="8"/>
      <c r="S32" s="8"/>
      <c r="T32" s="8"/>
      <c r="U32" s="8"/>
      <c r="V32" s="8"/>
      <c r="W32" s="8"/>
    </row>
    <row r="33" spans="1:23" ht="12" customHeight="1" x14ac:dyDescent="0.2">
      <c r="A33" s="8"/>
      <c r="B33" s="8"/>
      <c r="C33" s="11" t="s">
        <v>4</v>
      </c>
      <c r="D33" s="8"/>
      <c r="E33" s="17"/>
      <c r="F33" s="8"/>
      <c r="G33" s="8"/>
      <c r="H33" s="9"/>
      <c r="I33" s="8"/>
      <c r="J33" s="8"/>
      <c r="K33" s="8"/>
      <c r="L33" s="8"/>
      <c r="M33" s="8"/>
      <c r="N33" s="8"/>
      <c r="O33" s="13"/>
      <c r="P33" s="8"/>
      <c r="Q33" s="8"/>
      <c r="R33" s="8"/>
      <c r="S33" s="8"/>
      <c r="T33" s="8"/>
      <c r="U33" s="8"/>
      <c r="V33" s="8"/>
      <c r="W33" s="8"/>
    </row>
    <row r="34" spans="1:23" ht="12" customHeight="1" x14ac:dyDescent="0.2">
      <c r="A34" s="8"/>
      <c r="B34" s="8"/>
      <c r="C34" s="11"/>
      <c r="D34" s="8" t="s">
        <v>74</v>
      </c>
      <c r="E34" s="17"/>
      <c r="F34" s="8"/>
      <c r="G34" s="8"/>
      <c r="H34" s="9" t="s">
        <v>17</v>
      </c>
      <c r="I34" s="8"/>
      <c r="J34" s="8"/>
      <c r="K34" s="8"/>
      <c r="L34" s="8"/>
      <c r="M34" s="46">
        <f>Assumptions!J55</f>
        <v>3000000</v>
      </c>
      <c r="N34" s="43">
        <f t="shared" ref="N34:W34" si="12">N74</f>
        <v>4000000</v>
      </c>
      <c r="O34" s="42">
        <f t="shared" si="12"/>
        <v>4000000</v>
      </c>
      <c r="P34" s="42">
        <f t="shared" si="12"/>
        <v>4000000</v>
      </c>
      <c r="Q34" s="42">
        <f t="shared" si="12"/>
        <v>4000000</v>
      </c>
      <c r="R34" s="42">
        <f t="shared" si="12"/>
        <v>4000000</v>
      </c>
      <c r="S34" s="42">
        <f t="shared" si="12"/>
        <v>4000000</v>
      </c>
      <c r="T34" s="42">
        <f t="shared" si="12"/>
        <v>4000000</v>
      </c>
      <c r="U34" s="42">
        <f t="shared" si="12"/>
        <v>4000000</v>
      </c>
      <c r="V34" s="42">
        <f t="shared" si="12"/>
        <v>4000000</v>
      </c>
      <c r="W34" s="42">
        <f t="shared" si="12"/>
        <v>4000000</v>
      </c>
    </row>
    <row r="35" spans="1:23" ht="12" customHeight="1" x14ac:dyDescent="0.2">
      <c r="A35" s="8"/>
      <c r="B35" s="8"/>
      <c r="C35" s="11"/>
      <c r="D35" s="8" t="s">
        <v>10</v>
      </c>
      <c r="E35" s="17"/>
      <c r="F35" s="47">
        <f>Assumptions!J36</f>
        <v>0.1</v>
      </c>
      <c r="G35" s="8"/>
      <c r="H35" s="9" t="s">
        <v>17</v>
      </c>
      <c r="I35" s="8"/>
      <c r="J35" s="8"/>
      <c r="K35" s="8"/>
      <c r="L35" s="8"/>
      <c r="M35" s="46">
        <f>Assumptions!J56</f>
        <v>3000000</v>
      </c>
      <c r="N35" s="43">
        <f t="shared" ref="N35:W35" si="13">N14*$F35</f>
        <v>2500000</v>
      </c>
      <c r="O35" s="42">
        <f t="shared" si="13"/>
        <v>2700000</v>
      </c>
      <c r="P35" s="42">
        <f t="shared" si="13"/>
        <v>2916000.0000000005</v>
      </c>
      <c r="Q35" s="42">
        <f t="shared" si="13"/>
        <v>3149280.0000000009</v>
      </c>
      <c r="R35" s="42">
        <f t="shared" si="13"/>
        <v>3401222.4000000008</v>
      </c>
      <c r="S35" s="42">
        <f t="shared" si="13"/>
        <v>3673320.1920000012</v>
      </c>
      <c r="T35" s="42">
        <f t="shared" si="13"/>
        <v>3967185.8073600009</v>
      </c>
      <c r="U35" s="42">
        <f t="shared" si="13"/>
        <v>4267185.8073600009</v>
      </c>
      <c r="V35" s="42">
        <f t="shared" si="13"/>
        <v>4567185.8073600009</v>
      </c>
      <c r="W35" s="42">
        <f t="shared" si="13"/>
        <v>4867185.8073600009</v>
      </c>
    </row>
    <row r="36" spans="1:23" ht="12" customHeight="1" x14ac:dyDescent="0.2">
      <c r="A36" s="8"/>
      <c r="B36" s="8"/>
      <c r="C36" s="11"/>
      <c r="D36" s="8" t="s">
        <v>5</v>
      </c>
      <c r="E36" s="17"/>
      <c r="F36" s="47">
        <f>Assumptions!J37</f>
        <v>0.3</v>
      </c>
      <c r="G36" s="8"/>
      <c r="H36" s="9" t="s">
        <v>17</v>
      </c>
      <c r="I36" s="8"/>
      <c r="J36" s="8"/>
      <c r="K36" s="8"/>
      <c r="L36" s="8"/>
      <c r="M36" s="46">
        <f>Assumptions!J57</f>
        <v>4000000</v>
      </c>
      <c r="N36" s="43">
        <f t="shared" ref="N36:W36" si="14">-N16*$F36</f>
        <v>4500000</v>
      </c>
      <c r="O36" s="42">
        <f t="shared" si="14"/>
        <v>4860000</v>
      </c>
      <c r="P36" s="42">
        <f t="shared" si="14"/>
        <v>5248800</v>
      </c>
      <c r="Q36" s="42">
        <f t="shared" si="14"/>
        <v>5668704.0000000009</v>
      </c>
      <c r="R36" s="42">
        <f t="shared" si="14"/>
        <v>6122200.3200000003</v>
      </c>
      <c r="S36" s="42">
        <f t="shared" si="14"/>
        <v>6611976.3456000015</v>
      </c>
      <c r="T36" s="42">
        <f t="shared" si="14"/>
        <v>7140934.4532480016</v>
      </c>
      <c r="U36" s="42">
        <f t="shared" si="14"/>
        <v>7680934.4532480016</v>
      </c>
      <c r="V36" s="42">
        <f t="shared" si="14"/>
        <v>8220934.4532480016</v>
      </c>
      <c r="W36" s="42">
        <f t="shared" si="14"/>
        <v>8760934.4532480016</v>
      </c>
    </row>
    <row r="37" spans="1:23" ht="12" customHeight="1" x14ac:dyDescent="0.2">
      <c r="A37" s="8"/>
      <c r="B37" s="8"/>
      <c r="C37" s="11"/>
      <c r="D37" s="8" t="s">
        <v>75</v>
      </c>
      <c r="E37" s="17"/>
      <c r="F37" s="8"/>
      <c r="G37" s="8"/>
      <c r="H37" s="9" t="s">
        <v>17</v>
      </c>
      <c r="I37" s="8"/>
      <c r="J37" s="8"/>
      <c r="K37" s="8"/>
      <c r="L37" s="8"/>
      <c r="M37" s="42">
        <f t="shared" ref="M37:W37" si="15">SUM(M103,M109)</f>
        <v>40000000</v>
      </c>
      <c r="N37" s="43">
        <f t="shared" si="15"/>
        <v>36000000</v>
      </c>
      <c r="O37" s="42">
        <f t="shared" si="15"/>
        <v>32000000</v>
      </c>
      <c r="P37" s="42">
        <f t="shared" si="15"/>
        <v>28000000</v>
      </c>
      <c r="Q37" s="42">
        <f t="shared" si="15"/>
        <v>34000000</v>
      </c>
      <c r="R37" s="42">
        <f t="shared" si="15"/>
        <v>28000000</v>
      </c>
      <c r="S37" s="42">
        <f t="shared" si="15"/>
        <v>22000000</v>
      </c>
      <c r="T37" s="42">
        <f t="shared" si="15"/>
        <v>16000000</v>
      </c>
      <c r="U37" s="42">
        <f t="shared" si="15"/>
        <v>10000000</v>
      </c>
      <c r="V37" s="42">
        <f t="shared" si="15"/>
        <v>4000000</v>
      </c>
      <c r="W37" s="42">
        <f t="shared" si="15"/>
        <v>0</v>
      </c>
    </row>
    <row r="38" spans="1:23" ht="12" customHeight="1" x14ac:dyDescent="0.2">
      <c r="A38" s="8"/>
      <c r="B38" s="8"/>
      <c r="C38" s="11"/>
      <c r="D38" s="20" t="s">
        <v>6</v>
      </c>
      <c r="E38" s="17"/>
      <c r="F38" s="8"/>
      <c r="G38" s="8"/>
      <c r="H38" s="9" t="s">
        <v>17</v>
      </c>
      <c r="I38" s="8"/>
      <c r="J38" s="8"/>
      <c r="K38" s="8"/>
      <c r="L38" s="8"/>
      <c r="M38" s="20">
        <f t="shared" ref="M38:W38" si="16">SUM(M34:M37)</f>
        <v>50000000</v>
      </c>
      <c r="N38" s="20">
        <f t="shared" si="16"/>
        <v>47000000</v>
      </c>
      <c r="O38" s="20">
        <f t="shared" si="16"/>
        <v>43560000</v>
      </c>
      <c r="P38" s="20">
        <f t="shared" si="16"/>
        <v>40164800</v>
      </c>
      <c r="Q38" s="20">
        <f t="shared" si="16"/>
        <v>46817984</v>
      </c>
      <c r="R38" s="20">
        <f t="shared" si="16"/>
        <v>41523422.719999999</v>
      </c>
      <c r="S38" s="20">
        <f t="shared" si="16"/>
        <v>36285296.537600003</v>
      </c>
      <c r="T38" s="20">
        <f t="shared" si="16"/>
        <v>31108120.260608003</v>
      </c>
      <c r="U38" s="20">
        <f t="shared" si="16"/>
        <v>25948120.260608003</v>
      </c>
      <c r="V38" s="20">
        <f t="shared" si="16"/>
        <v>20788120.260608003</v>
      </c>
      <c r="W38" s="20">
        <f t="shared" si="16"/>
        <v>17628120.260608003</v>
      </c>
    </row>
    <row r="39" spans="1:23" ht="12" customHeight="1" x14ac:dyDescent="0.2">
      <c r="A39" s="8"/>
      <c r="B39" s="8"/>
      <c r="C39" s="11"/>
      <c r="D39" s="8"/>
      <c r="E39" s="17"/>
      <c r="F39" s="8"/>
      <c r="G39" s="8"/>
      <c r="H39" s="9"/>
      <c r="I39" s="8"/>
      <c r="J39" s="8"/>
      <c r="K39" s="8"/>
      <c r="L39" s="8"/>
      <c r="M39" s="8"/>
      <c r="N39" s="8"/>
      <c r="O39" s="13"/>
      <c r="P39" s="8"/>
      <c r="Q39" s="8"/>
      <c r="R39" s="8"/>
      <c r="S39" s="8"/>
      <c r="T39" s="8"/>
      <c r="U39" s="8"/>
      <c r="V39" s="8"/>
      <c r="W39" s="8"/>
    </row>
    <row r="40" spans="1:23" ht="12" customHeight="1" x14ac:dyDescent="0.2">
      <c r="A40" s="8"/>
      <c r="B40" s="8"/>
      <c r="C40" s="11" t="s">
        <v>7</v>
      </c>
      <c r="D40" s="8"/>
      <c r="E40" s="17"/>
      <c r="F40" s="8"/>
      <c r="G40" s="8"/>
      <c r="H40" s="9"/>
      <c r="I40" s="8"/>
      <c r="J40" s="8"/>
      <c r="K40" s="8"/>
      <c r="L40" s="8"/>
      <c r="M40" s="8"/>
      <c r="N40" s="8"/>
      <c r="O40" s="13"/>
      <c r="P40" s="8"/>
      <c r="Q40" s="8"/>
      <c r="R40" s="8"/>
      <c r="S40" s="8"/>
      <c r="T40" s="8"/>
      <c r="U40" s="8"/>
      <c r="V40" s="8"/>
      <c r="W40" s="8"/>
    </row>
    <row r="41" spans="1:23" ht="12" customHeight="1" x14ac:dyDescent="0.2">
      <c r="A41" s="8"/>
      <c r="B41" s="8"/>
      <c r="C41" s="11"/>
      <c r="D41" s="8" t="s">
        <v>84</v>
      </c>
      <c r="E41" s="49">
        <f>Assumptions!J38</f>
        <v>0.12</v>
      </c>
      <c r="F41" s="47">
        <f>Assumptions!J39</f>
        <v>0.15</v>
      </c>
      <c r="G41" s="8"/>
      <c r="H41" s="9" t="s">
        <v>17</v>
      </c>
      <c r="I41" s="8"/>
      <c r="J41" s="8"/>
      <c r="K41" s="8"/>
      <c r="L41" s="8"/>
      <c r="M41" s="43">
        <f t="shared" ref="M41:W41" si="17">-M16*$E41-M17*$F41</f>
        <v>0</v>
      </c>
      <c r="N41" s="43">
        <f t="shared" si="17"/>
        <v>2250000</v>
      </c>
      <c r="O41" s="42">
        <f t="shared" si="17"/>
        <v>2425500</v>
      </c>
      <c r="P41" s="42">
        <f t="shared" si="17"/>
        <v>2614725</v>
      </c>
      <c r="Q41" s="42">
        <f t="shared" si="17"/>
        <v>2818750.9500000007</v>
      </c>
      <c r="R41" s="42">
        <f t="shared" si="17"/>
        <v>3038738.3325</v>
      </c>
      <c r="S41" s="42">
        <f t="shared" si="17"/>
        <v>3275938.8170550009</v>
      </c>
      <c r="T41" s="42">
        <f t="shared" si="17"/>
        <v>3531702.4396312507</v>
      </c>
      <c r="U41" s="42">
        <f t="shared" si="17"/>
        <v>3794975.4457144942</v>
      </c>
      <c r="V41" s="42">
        <f t="shared" si="17"/>
        <v>4061557.5622235648</v>
      </c>
      <c r="W41" s="42">
        <f t="shared" si="17"/>
        <v>4331680.4268882703</v>
      </c>
    </row>
    <row r="42" spans="1:23" ht="12" customHeight="1" x14ac:dyDescent="0.2">
      <c r="A42" s="8"/>
      <c r="B42" s="8"/>
      <c r="C42" s="11"/>
      <c r="D42" s="8" t="s">
        <v>59</v>
      </c>
      <c r="E42" s="17"/>
      <c r="F42" s="8"/>
      <c r="G42" s="8"/>
      <c r="H42" s="9" t="s">
        <v>17</v>
      </c>
      <c r="I42" s="8"/>
      <c r="J42" s="8"/>
      <c r="K42" s="8"/>
      <c r="L42" s="8"/>
      <c r="M42" s="42">
        <f t="shared" ref="M42:W42" si="18">M84</f>
        <v>20000000</v>
      </c>
      <c r="N42" s="43">
        <f t="shared" si="18"/>
        <v>17500000</v>
      </c>
      <c r="O42" s="42">
        <f t="shared" si="18"/>
        <v>15000000</v>
      </c>
      <c r="P42" s="42">
        <f t="shared" si="18"/>
        <v>12500000</v>
      </c>
      <c r="Q42" s="42">
        <f t="shared" si="18"/>
        <v>10000000</v>
      </c>
      <c r="R42" s="42">
        <f t="shared" si="18"/>
        <v>7500000</v>
      </c>
      <c r="S42" s="42">
        <f t="shared" si="18"/>
        <v>5000000</v>
      </c>
      <c r="T42" s="42">
        <f t="shared" si="18"/>
        <v>2500000</v>
      </c>
      <c r="U42" s="42">
        <f t="shared" si="18"/>
        <v>0</v>
      </c>
      <c r="V42" s="42">
        <f t="shared" si="18"/>
        <v>0</v>
      </c>
      <c r="W42" s="42">
        <f t="shared" si="18"/>
        <v>0</v>
      </c>
    </row>
    <row r="43" spans="1:23" ht="12" customHeight="1" x14ac:dyDescent="0.2">
      <c r="A43" s="8"/>
      <c r="B43" s="8"/>
      <c r="C43" s="11"/>
      <c r="D43" s="20" t="s">
        <v>85</v>
      </c>
      <c r="E43" s="17"/>
      <c r="F43" s="8"/>
      <c r="G43" s="8"/>
      <c r="H43" s="9" t="s">
        <v>17</v>
      </c>
      <c r="I43" s="8"/>
      <c r="J43" s="8"/>
      <c r="K43" s="8"/>
      <c r="L43" s="8"/>
      <c r="M43" s="20">
        <f t="shared" ref="M43:W43" si="19">SUM(M41:M42)</f>
        <v>20000000</v>
      </c>
      <c r="N43" s="20">
        <f t="shared" si="19"/>
        <v>19750000</v>
      </c>
      <c r="O43" s="20">
        <f t="shared" si="19"/>
        <v>17425500</v>
      </c>
      <c r="P43" s="20">
        <f t="shared" si="19"/>
        <v>15114725</v>
      </c>
      <c r="Q43" s="20">
        <f t="shared" si="19"/>
        <v>12818750.950000001</v>
      </c>
      <c r="R43" s="20">
        <f t="shared" si="19"/>
        <v>10538738.3325</v>
      </c>
      <c r="S43" s="20">
        <f t="shared" si="19"/>
        <v>8275938.8170550009</v>
      </c>
      <c r="T43" s="20">
        <f t="shared" si="19"/>
        <v>6031702.4396312507</v>
      </c>
      <c r="U43" s="20">
        <f t="shared" si="19"/>
        <v>3794975.4457144942</v>
      </c>
      <c r="V43" s="20">
        <f t="shared" si="19"/>
        <v>4061557.5622235648</v>
      </c>
      <c r="W43" s="20">
        <f t="shared" si="19"/>
        <v>4331680.4268882703</v>
      </c>
    </row>
    <row r="44" spans="1:23" ht="12" customHeight="1" x14ac:dyDescent="0.2">
      <c r="A44" s="8"/>
      <c r="B44" s="8"/>
      <c r="C44" s="11"/>
      <c r="D44" s="8"/>
      <c r="E44" s="17"/>
      <c r="F44" s="8"/>
      <c r="G44" s="8"/>
      <c r="H44" s="9"/>
      <c r="I44" s="8"/>
      <c r="J44" s="8"/>
      <c r="K44" s="8"/>
      <c r="L44" s="8"/>
      <c r="M44" s="8"/>
      <c r="N44" s="8"/>
      <c r="O44" s="13"/>
      <c r="P44" s="8"/>
      <c r="Q44" s="8"/>
      <c r="R44" s="8"/>
      <c r="S44" s="8"/>
      <c r="T44" s="8"/>
      <c r="U44" s="8"/>
      <c r="V44" s="8"/>
      <c r="W44" s="8"/>
    </row>
    <row r="45" spans="1:23" ht="12" customHeight="1" x14ac:dyDescent="0.2">
      <c r="A45" s="8"/>
      <c r="B45" s="8"/>
      <c r="C45" s="11"/>
      <c r="D45" s="11" t="s">
        <v>86</v>
      </c>
      <c r="E45" s="17"/>
      <c r="F45" s="8"/>
      <c r="G45" s="8"/>
      <c r="H45" s="9" t="s">
        <v>17</v>
      </c>
      <c r="I45" s="8"/>
      <c r="J45" s="8"/>
      <c r="K45" s="8"/>
      <c r="L45" s="8"/>
      <c r="M45" s="11">
        <f t="shared" ref="M45:W45" si="20">M38-M43</f>
        <v>30000000</v>
      </c>
      <c r="N45" s="31">
        <f t="shared" si="20"/>
        <v>27250000</v>
      </c>
      <c r="O45" s="11">
        <f t="shared" si="20"/>
        <v>26134500</v>
      </c>
      <c r="P45" s="11">
        <f t="shared" si="20"/>
        <v>25050075</v>
      </c>
      <c r="Q45" s="11">
        <f t="shared" si="20"/>
        <v>33999233.049999997</v>
      </c>
      <c r="R45" s="11">
        <f t="shared" si="20"/>
        <v>30984684.387499999</v>
      </c>
      <c r="S45" s="11">
        <f t="shared" si="20"/>
        <v>28009357.720545001</v>
      </c>
      <c r="T45" s="11">
        <f t="shared" si="20"/>
        <v>25076417.820976753</v>
      </c>
      <c r="U45" s="11">
        <f t="shared" si="20"/>
        <v>22153144.814893506</v>
      </c>
      <c r="V45" s="11">
        <f t="shared" si="20"/>
        <v>16726562.698384438</v>
      </c>
      <c r="W45" s="11">
        <f t="shared" si="20"/>
        <v>13296439.833719732</v>
      </c>
    </row>
    <row r="46" spans="1:23" ht="12" customHeight="1" x14ac:dyDescent="0.2">
      <c r="A46" s="8"/>
      <c r="B46" s="8"/>
      <c r="C46" s="11"/>
      <c r="D46" s="8"/>
      <c r="E46" s="17"/>
      <c r="F46" s="8"/>
      <c r="G46" s="8"/>
      <c r="H46" s="9"/>
      <c r="I46" s="8"/>
      <c r="J46" s="8"/>
      <c r="K46" s="8"/>
      <c r="L46" s="8"/>
      <c r="M46" s="8"/>
      <c r="N46" s="8"/>
      <c r="O46" s="13"/>
      <c r="P46" s="8"/>
      <c r="Q46" s="8"/>
      <c r="R46" s="8"/>
      <c r="S46" s="8"/>
      <c r="T46" s="8"/>
      <c r="U46" s="8"/>
      <c r="V46" s="8"/>
      <c r="W46" s="8"/>
    </row>
    <row r="47" spans="1:23" ht="12" customHeight="1" x14ac:dyDescent="0.2">
      <c r="A47" s="8"/>
      <c r="B47" s="8"/>
      <c r="C47" s="11" t="s">
        <v>14</v>
      </c>
      <c r="D47" s="8"/>
      <c r="E47" s="17"/>
      <c r="F47" s="8"/>
      <c r="G47" s="8"/>
      <c r="H47" s="9"/>
      <c r="I47" s="8"/>
      <c r="J47" s="8"/>
      <c r="K47" s="8"/>
      <c r="L47" s="8"/>
      <c r="M47" s="8"/>
      <c r="N47" s="8"/>
      <c r="O47" s="13"/>
      <c r="P47" s="8"/>
      <c r="Q47" s="8"/>
      <c r="R47" s="8"/>
      <c r="S47" s="8"/>
      <c r="T47" s="8"/>
      <c r="U47" s="8"/>
      <c r="V47" s="8"/>
      <c r="W47" s="8"/>
    </row>
    <row r="48" spans="1:23" ht="12" customHeight="1" x14ac:dyDescent="0.2">
      <c r="A48" s="8"/>
      <c r="B48" s="8"/>
      <c r="C48" s="11"/>
      <c r="D48" s="8" t="s">
        <v>87</v>
      </c>
      <c r="E48" s="17"/>
      <c r="F48" s="8"/>
      <c r="G48" s="8"/>
      <c r="H48" s="9" t="s">
        <v>17</v>
      </c>
      <c r="I48" s="8"/>
      <c r="J48" s="8"/>
      <c r="K48" s="8"/>
      <c r="L48" s="8"/>
      <c r="M48" s="46">
        <f>Assumptions!J47</f>
        <v>30000000</v>
      </c>
      <c r="N48" s="43">
        <f>SUM(M48,Assumptions!$J$48*(N$8=Assumptions!$J$49))</f>
        <v>30000000</v>
      </c>
      <c r="O48" s="42">
        <f>SUM(N48,Assumptions!$J$48*(O$8=Assumptions!$J$49))</f>
        <v>30000000</v>
      </c>
      <c r="P48" s="42">
        <f>SUM(O48,Assumptions!$J$48*(P$8=Assumptions!$J$49))</f>
        <v>30000000</v>
      </c>
      <c r="Q48" s="42">
        <f>SUM(P48,Assumptions!$J$48*(Q$8=Assumptions!$J$49))</f>
        <v>39000000</v>
      </c>
      <c r="R48" s="42">
        <f>SUM(Q48,Assumptions!$J$48*(R$8=Assumptions!$J$49))</f>
        <v>39000000</v>
      </c>
      <c r="S48" s="42">
        <f>SUM(R48,Assumptions!$J$48*(S$8=Assumptions!$J$49))</f>
        <v>39000000</v>
      </c>
      <c r="T48" s="42">
        <f>SUM(S48,Assumptions!$J$48*(T$8=Assumptions!$J$49))</f>
        <v>39000000</v>
      </c>
      <c r="U48" s="42">
        <f>SUM(T48,Assumptions!$J$48*(U$8=Assumptions!$J$49))</f>
        <v>39000000</v>
      </c>
      <c r="V48" s="42">
        <f>SUM(U48,Assumptions!$J$48*(V$8=Assumptions!$J$49))</f>
        <v>39000000</v>
      </c>
      <c r="W48" s="42">
        <f>SUM(V48,Assumptions!$J$48*(W$8=Assumptions!$J$49))</f>
        <v>39000000</v>
      </c>
    </row>
    <row r="49" spans="1:23" ht="12" customHeight="1" x14ac:dyDescent="0.2">
      <c r="A49" s="8"/>
      <c r="B49" s="8"/>
      <c r="C49" s="11"/>
      <c r="D49" s="8" t="s">
        <v>8</v>
      </c>
      <c r="E49" s="17"/>
      <c r="F49" s="8"/>
      <c r="G49" s="8"/>
      <c r="H49" s="9" t="s">
        <v>17</v>
      </c>
      <c r="I49" s="8"/>
      <c r="J49" s="8"/>
      <c r="K49" s="8"/>
      <c r="L49" s="8"/>
      <c r="M49" s="43">
        <f t="shared" ref="M49:W49" si="21">SUM(L49,M28)</f>
        <v>0</v>
      </c>
      <c r="N49" s="43">
        <f t="shared" si="21"/>
        <v>-2750000</v>
      </c>
      <c r="O49" s="42">
        <f t="shared" si="21"/>
        <v>-3865500</v>
      </c>
      <c r="P49" s="42">
        <f t="shared" si="21"/>
        <v>-4949925</v>
      </c>
      <c r="Q49" s="42">
        <f t="shared" si="21"/>
        <v>-5000766.9499999993</v>
      </c>
      <c r="R49" s="42">
        <f t="shared" si="21"/>
        <v>-8015315.6124999989</v>
      </c>
      <c r="S49" s="42">
        <f t="shared" si="21"/>
        <v>-10990642.279454999</v>
      </c>
      <c r="T49" s="42">
        <f t="shared" si="21"/>
        <v>-13923582.179023249</v>
      </c>
      <c r="U49" s="42">
        <f t="shared" si="21"/>
        <v>-16846855.185106494</v>
      </c>
      <c r="V49" s="42">
        <f t="shared" si="21"/>
        <v>-22273437.301615566</v>
      </c>
      <c r="W49" s="42">
        <f t="shared" si="21"/>
        <v>-25703560.16628027</v>
      </c>
    </row>
    <row r="50" spans="1:23" ht="12" customHeight="1" x14ac:dyDescent="0.2">
      <c r="A50" s="8"/>
      <c r="B50" s="8"/>
      <c r="C50" s="11"/>
      <c r="D50" s="20" t="s">
        <v>9</v>
      </c>
      <c r="E50" s="17"/>
      <c r="F50" s="8"/>
      <c r="G50" s="8"/>
      <c r="H50" s="9" t="s">
        <v>17</v>
      </c>
      <c r="I50" s="8"/>
      <c r="J50" s="8"/>
      <c r="K50" s="8"/>
      <c r="L50" s="8"/>
      <c r="M50" s="20">
        <f t="shared" ref="M50" si="22">SUM(M48:M49)</f>
        <v>30000000</v>
      </c>
      <c r="N50" s="20">
        <f t="shared" ref="N50" si="23">SUM(N48:N49)</f>
        <v>27250000</v>
      </c>
      <c r="O50" s="20">
        <f t="shared" ref="O50" si="24">SUM(O48:O49)</f>
        <v>26134500</v>
      </c>
      <c r="P50" s="20">
        <f t="shared" ref="P50" si="25">SUM(P48:P49)</f>
        <v>25050075</v>
      </c>
      <c r="Q50" s="20">
        <f t="shared" ref="Q50" si="26">SUM(Q48:Q49)</f>
        <v>33999233.049999997</v>
      </c>
      <c r="R50" s="20">
        <f t="shared" ref="R50" si="27">SUM(R48:R49)</f>
        <v>30984684.387500003</v>
      </c>
      <c r="S50" s="20">
        <f t="shared" ref="S50" si="28">SUM(S48:S49)</f>
        <v>28009357.720545001</v>
      </c>
      <c r="T50" s="20">
        <f t="shared" ref="T50" si="29">SUM(T48:T49)</f>
        <v>25076417.820976749</v>
      </c>
      <c r="U50" s="20">
        <f t="shared" ref="U50" si="30">SUM(U48:U49)</f>
        <v>22153144.814893506</v>
      </c>
      <c r="V50" s="20">
        <f t="shared" ref="V50" si="31">SUM(V48:V49)</f>
        <v>16726562.698384434</v>
      </c>
      <c r="W50" s="20">
        <f t="shared" ref="W50" si="32">SUM(W48:W49)</f>
        <v>13296439.83371973</v>
      </c>
    </row>
    <row r="51" spans="1:23" ht="12" customHeight="1" x14ac:dyDescent="0.2">
      <c r="A51" s="8"/>
      <c r="B51" s="8"/>
      <c r="C51" s="11"/>
      <c r="D51" s="8"/>
      <c r="E51" s="17"/>
      <c r="F51" s="8"/>
      <c r="G51" s="8"/>
      <c r="H51" s="9"/>
      <c r="I51" s="8"/>
      <c r="J51" s="8"/>
      <c r="K51" s="8"/>
      <c r="L51" s="8"/>
      <c r="M51" s="8"/>
      <c r="N51" s="8"/>
      <c r="O51" s="13"/>
      <c r="P51" s="8"/>
      <c r="Q51" s="8"/>
      <c r="R51" s="8"/>
      <c r="S51" s="8"/>
      <c r="T51" s="8"/>
      <c r="U51" s="8"/>
      <c r="V51" s="8"/>
      <c r="W51" s="8"/>
    </row>
    <row r="52" spans="1:23" ht="12" customHeight="1" x14ac:dyDescent="0.2">
      <c r="A52" s="8"/>
      <c r="B52" s="8"/>
      <c r="C52" s="11"/>
      <c r="D52" s="8" t="s">
        <v>120</v>
      </c>
      <c r="E52" s="8"/>
      <c r="F52" s="8"/>
      <c r="G52" s="8"/>
      <c r="H52" s="9" t="s">
        <v>121</v>
      </c>
      <c r="I52" s="8"/>
      <c r="J52" s="8"/>
      <c r="K52" s="8"/>
      <c r="L52" s="8"/>
      <c r="M52" s="8">
        <f t="shared" ref="M52:W52" si="33">ROUND(M45-M50,6)</f>
        <v>0</v>
      </c>
      <c r="N52" s="8">
        <f t="shared" si="33"/>
        <v>0</v>
      </c>
      <c r="O52" s="13">
        <f t="shared" si="33"/>
        <v>0</v>
      </c>
      <c r="P52" s="8">
        <f t="shared" si="33"/>
        <v>0</v>
      </c>
      <c r="Q52" s="8">
        <f t="shared" si="33"/>
        <v>0</v>
      </c>
      <c r="R52" s="8">
        <f t="shared" si="33"/>
        <v>0</v>
      </c>
      <c r="S52" s="8">
        <f t="shared" si="33"/>
        <v>0</v>
      </c>
      <c r="T52" s="8">
        <f t="shared" si="33"/>
        <v>0</v>
      </c>
      <c r="U52" s="8">
        <f t="shared" si="33"/>
        <v>0</v>
      </c>
      <c r="V52" s="8">
        <f t="shared" si="33"/>
        <v>0</v>
      </c>
      <c r="W52" s="8">
        <f t="shared" si="33"/>
        <v>0</v>
      </c>
    </row>
    <row r="53" spans="1:23" ht="12" customHeight="1" x14ac:dyDescent="0.2">
      <c r="A53" s="8"/>
      <c r="B53" s="8"/>
      <c r="C53" s="11"/>
      <c r="D53" s="8"/>
      <c r="E53" s="8"/>
      <c r="F53" s="8"/>
      <c r="G53" s="8"/>
      <c r="H53" s="9"/>
      <c r="I53" s="8"/>
      <c r="J53" s="8"/>
      <c r="K53" s="8"/>
      <c r="L53" s="8"/>
      <c r="M53" s="8"/>
      <c r="N53" s="8"/>
      <c r="O53" s="32"/>
      <c r="P53" s="8"/>
      <c r="Q53" s="8"/>
      <c r="R53" s="8"/>
      <c r="S53" s="8"/>
      <c r="T53" s="8"/>
      <c r="U53" s="8"/>
      <c r="V53" s="8"/>
      <c r="W53" s="8"/>
    </row>
    <row r="54" spans="1:23" ht="12" customHeight="1" x14ac:dyDescent="0.2">
      <c r="A54" s="15">
        <f>MAX(A$3:A53)+0.01</f>
        <v>2.0299999999999994</v>
      </c>
      <c r="B54" s="15"/>
      <c r="C54" s="15" t="s">
        <v>100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2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" customHeight="1" x14ac:dyDescent="0.2">
      <c r="A56" s="8"/>
      <c r="B56" s="8"/>
      <c r="C56" s="11" t="s">
        <v>95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x14ac:dyDescent="0.2">
      <c r="A57" s="8"/>
      <c r="B57" s="8"/>
      <c r="C57" s="8"/>
      <c r="D57" s="8" t="s">
        <v>79</v>
      </c>
      <c r="E57" s="8"/>
      <c r="F57" s="8"/>
      <c r="G57" s="8"/>
      <c r="H57" s="9" t="s">
        <v>17</v>
      </c>
      <c r="I57" s="8"/>
      <c r="J57" s="42">
        <f t="shared" ref="J57:J64" si="34">SUM(M57:W57)</f>
        <v>102584919.40192151</v>
      </c>
      <c r="K57" s="8"/>
      <c r="L57" s="8"/>
      <c r="M57" s="42">
        <f t="shared" ref="M57:W57" si="35">M19</f>
        <v>0</v>
      </c>
      <c r="N57" s="43">
        <f t="shared" si="35"/>
        <v>7000000</v>
      </c>
      <c r="O57" s="42">
        <f t="shared" si="35"/>
        <v>7590000</v>
      </c>
      <c r="P57" s="42">
        <f t="shared" si="35"/>
        <v>8229300.0000000037</v>
      </c>
      <c r="Q57" s="42">
        <f t="shared" si="35"/>
        <v>8921991.0000000037</v>
      </c>
      <c r="R57" s="42">
        <f t="shared" si="35"/>
        <v>9672501.570000004</v>
      </c>
      <c r="S57" s="42">
        <f t="shared" si="35"/>
        <v>10485625.575900003</v>
      </c>
      <c r="T57" s="42">
        <f t="shared" si="35"/>
        <v>11366552.173893003</v>
      </c>
      <c r="U57" s="42">
        <f t="shared" si="35"/>
        <v>12251398.800004713</v>
      </c>
      <c r="V57" s="42">
        <f t="shared" si="35"/>
        <v>13114184.689944241</v>
      </c>
      <c r="W57" s="42">
        <f t="shared" si="35"/>
        <v>13953365.592179537</v>
      </c>
    </row>
    <row r="58" spans="1:23" x14ac:dyDescent="0.2">
      <c r="A58" s="8"/>
      <c r="B58" s="8"/>
      <c r="C58" s="8"/>
      <c r="D58" s="8" t="s">
        <v>88</v>
      </c>
      <c r="E58" s="8"/>
      <c r="F58" s="8"/>
      <c r="G58" s="8"/>
      <c r="H58" s="9" t="s">
        <v>17</v>
      </c>
      <c r="I58" s="8"/>
      <c r="J58" s="42">
        <f t="shared" si="34"/>
        <v>-5850000</v>
      </c>
      <c r="K58" s="8"/>
      <c r="L58" s="8"/>
      <c r="M58" s="42">
        <f t="shared" ref="M58:W58" si="36">M22</f>
        <v>0</v>
      </c>
      <c r="N58" s="43">
        <f t="shared" si="36"/>
        <v>-1300000</v>
      </c>
      <c r="O58" s="42">
        <f t="shared" si="36"/>
        <v>-1137500</v>
      </c>
      <c r="P58" s="42">
        <f t="shared" si="36"/>
        <v>-975000</v>
      </c>
      <c r="Q58" s="42">
        <f t="shared" si="36"/>
        <v>-812500</v>
      </c>
      <c r="R58" s="42">
        <f t="shared" si="36"/>
        <v>-650000</v>
      </c>
      <c r="S58" s="42">
        <f t="shared" si="36"/>
        <v>-487500</v>
      </c>
      <c r="T58" s="42">
        <f t="shared" si="36"/>
        <v>-325000</v>
      </c>
      <c r="U58" s="42">
        <f t="shared" si="36"/>
        <v>-162500</v>
      </c>
      <c r="V58" s="42">
        <f t="shared" si="36"/>
        <v>0</v>
      </c>
      <c r="W58" s="42">
        <f t="shared" si="36"/>
        <v>0</v>
      </c>
    </row>
    <row r="59" spans="1:23" x14ac:dyDescent="0.2">
      <c r="A59" s="8"/>
      <c r="B59" s="8"/>
      <c r="C59" s="8"/>
      <c r="D59" s="8" t="s">
        <v>89</v>
      </c>
      <c r="E59" s="8"/>
      <c r="F59" s="8"/>
      <c r="G59" s="8"/>
      <c r="H59" s="9" t="s">
        <v>17</v>
      </c>
      <c r="I59" s="8"/>
      <c r="J59" s="42">
        <f t="shared" si="34"/>
        <v>-20000000</v>
      </c>
      <c r="K59" s="8"/>
      <c r="L59" s="8"/>
      <c r="M59" s="42">
        <f t="shared" ref="M59:W59" si="37">M83</f>
        <v>0</v>
      </c>
      <c r="N59" s="43">
        <f t="shared" si="37"/>
        <v>-2500000</v>
      </c>
      <c r="O59" s="42">
        <f t="shared" si="37"/>
        <v>-2500000</v>
      </c>
      <c r="P59" s="42">
        <f t="shared" si="37"/>
        <v>-2500000</v>
      </c>
      <c r="Q59" s="42">
        <f t="shared" si="37"/>
        <v>-2500000</v>
      </c>
      <c r="R59" s="42">
        <f t="shared" si="37"/>
        <v>-2500000</v>
      </c>
      <c r="S59" s="42">
        <f t="shared" si="37"/>
        <v>-2500000</v>
      </c>
      <c r="T59" s="42">
        <f t="shared" si="37"/>
        <v>-2500000</v>
      </c>
      <c r="U59" s="42">
        <f t="shared" si="37"/>
        <v>-2500000</v>
      </c>
      <c r="V59" s="42">
        <f t="shared" si="37"/>
        <v>0</v>
      </c>
      <c r="W59" s="42">
        <f t="shared" si="37"/>
        <v>0</v>
      </c>
    </row>
    <row r="60" spans="1:23" x14ac:dyDescent="0.2">
      <c r="A60" s="8"/>
      <c r="B60" s="8"/>
      <c r="C60" s="8"/>
      <c r="D60" s="8" t="s">
        <v>90</v>
      </c>
      <c r="E60" s="8"/>
      <c r="F60" s="8"/>
      <c r="G60" s="8"/>
      <c r="H60" s="9" t="s">
        <v>17</v>
      </c>
      <c r="I60" s="8"/>
      <c r="J60" s="42">
        <f t="shared" si="34"/>
        <v>-9296439.8337197322</v>
      </c>
      <c r="K60" s="8"/>
      <c r="L60" s="8"/>
      <c r="M60" s="42">
        <f t="shared" ref="M60:W60" si="38">M94</f>
        <v>-7000000</v>
      </c>
      <c r="N60" s="43">
        <f t="shared" si="38"/>
        <v>2250000</v>
      </c>
      <c r="O60" s="42">
        <f t="shared" si="38"/>
        <v>-384500</v>
      </c>
      <c r="P60" s="42">
        <f t="shared" si="38"/>
        <v>-415575.00000000047</v>
      </c>
      <c r="Q60" s="42">
        <f t="shared" si="38"/>
        <v>-449158.05000000075</v>
      </c>
      <c r="R60" s="42">
        <f t="shared" si="38"/>
        <v>-485451.33749999991</v>
      </c>
      <c r="S60" s="42">
        <f t="shared" si="38"/>
        <v>-524673.33304500068</v>
      </c>
      <c r="T60" s="42">
        <f t="shared" si="38"/>
        <v>-567060.10043175006</v>
      </c>
      <c r="U60" s="42">
        <f t="shared" si="38"/>
        <v>-576726.99391675647</v>
      </c>
      <c r="V60" s="42">
        <f t="shared" si="38"/>
        <v>-573417.88349092938</v>
      </c>
      <c r="W60" s="42">
        <f t="shared" si="38"/>
        <v>-569877.13533529453</v>
      </c>
    </row>
    <row r="61" spans="1:23" x14ac:dyDescent="0.2">
      <c r="A61" s="8"/>
      <c r="B61" s="8"/>
      <c r="C61" s="8"/>
      <c r="D61" s="8" t="s">
        <v>91</v>
      </c>
      <c r="E61" s="8"/>
      <c r="F61" s="8"/>
      <c r="G61" s="8"/>
      <c r="H61" s="9" t="s">
        <v>17</v>
      </c>
      <c r="I61" s="8"/>
      <c r="J61" s="42">
        <f t="shared" si="34"/>
        <v>-50000000</v>
      </c>
      <c r="K61" s="8"/>
      <c r="L61" s="8"/>
      <c r="M61" s="42">
        <f t="shared" ref="M61:W61" si="39">-SUM(M101,M107)</f>
        <v>-40000000</v>
      </c>
      <c r="N61" s="43">
        <f t="shared" si="39"/>
        <v>0</v>
      </c>
      <c r="O61" s="42">
        <f t="shared" si="39"/>
        <v>0</v>
      </c>
      <c r="P61" s="42">
        <f t="shared" si="39"/>
        <v>0</v>
      </c>
      <c r="Q61" s="42">
        <f t="shared" si="39"/>
        <v>-10000000</v>
      </c>
      <c r="R61" s="42">
        <f t="shared" si="39"/>
        <v>0</v>
      </c>
      <c r="S61" s="42">
        <f t="shared" si="39"/>
        <v>0</v>
      </c>
      <c r="T61" s="42">
        <f t="shared" si="39"/>
        <v>0</v>
      </c>
      <c r="U61" s="42">
        <f t="shared" si="39"/>
        <v>0</v>
      </c>
      <c r="V61" s="42">
        <f t="shared" si="39"/>
        <v>0</v>
      </c>
      <c r="W61" s="42">
        <f t="shared" si="39"/>
        <v>0</v>
      </c>
    </row>
    <row r="62" spans="1:23" x14ac:dyDescent="0.2">
      <c r="A62" s="8"/>
      <c r="B62" s="8"/>
      <c r="C62" s="8"/>
      <c r="D62" s="8" t="s">
        <v>92</v>
      </c>
      <c r="E62" s="8"/>
      <c r="F62" s="8"/>
      <c r="G62" s="8"/>
      <c r="H62" s="9" t="s">
        <v>17</v>
      </c>
      <c r="I62" s="8"/>
      <c r="J62" s="42">
        <f t="shared" si="34"/>
        <v>20000000</v>
      </c>
      <c r="K62" s="8"/>
      <c r="L62" s="8"/>
      <c r="M62" s="42">
        <f t="shared" ref="M62:W62" si="40">M82</f>
        <v>20000000</v>
      </c>
      <c r="N62" s="43">
        <f t="shared" si="40"/>
        <v>0</v>
      </c>
      <c r="O62" s="42">
        <f t="shared" si="40"/>
        <v>0</v>
      </c>
      <c r="P62" s="42">
        <f t="shared" si="40"/>
        <v>0</v>
      </c>
      <c r="Q62" s="42">
        <f t="shared" si="40"/>
        <v>0</v>
      </c>
      <c r="R62" s="42">
        <f t="shared" si="40"/>
        <v>0</v>
      </c>
      <c r="S62" s="42">
        <f t="shared" si="40"/>
        <v>0</v>
      </c>
      <c r="T62" s="42">
        <f t="shared" si="40"/>
        <v>0</v>
      </c>
      <c r="U62" s="42">
        <f t="shared" si="40"/>
        <v>0</v>
      </c>
      <c r="V62" s="42">
        <f t="shared" si="40"/>
        <v>0</v>
      </c>
      <c r="W62" s="42">
        <f t="shared" si="40"/>
        <v>0</v>
      </c>
    </row>
    <row r="63" spans="1:23" x14ac:dyDescent="0.2">
      <c r="A63" s="8"/>
      <c r="B63" s="8"/>
      <c r="C63" s="8"/>
      <c r="D63" s="8" t="s">
        <v>63</v>
      </c>
      <c r="E63" s="8"/>
      <c r="F63" s="8"/>
      <c r="G63" s="8"/>
      <c r="H63" s="9" t="s">
        <v>17</v>
      </c>
      <c r="I63" s="8"/>
      <c r="J63" s="42">
        <f t="shared" si="34"/>
        <v>39000000</v>
      </c>
      <c r="K63" s="8"/>
      <c r="L63" s="8"/>
      <c r="M63" s="42">
        <f t="shared" ref="M63:W63" si="41">M48-L48</f>
        <v>30000000</v>
      </c>
      <c r="N63" s="43">
        <f t="shared" si="41"/>
        <v>0</v>
      </c>
      <c r="O63" s="42">
        <f t="shared" si="41"/>
        <v>0</v>
      </c>
      <c r="P63" s="42">
        <f t="shared" si="41"/>
        <v>0</v>
      </c>
      <c r="Q63" s="42">
        <f t="shared" si="41"/>
        <v>9000000</v>
      </c>
      <c r="R63" s="42">
        <f t="shared" si="41"/>
        <v>0</v>
      </c>
      <c r="S63" s="42">
        <f t="shared" si="41"/>
        <v>0</v>
      </c>
      <c r="T63" s="42">
        <f t="shared" si="41"/>
        <v>0</v>
      </c>
      <c r="U63" s="42">
        <f t="shared" si="41"/>
        <v>0</v>
      </c>
      <c r="V63" s="42">
        <f t="shared" si="41"/>
        <v>0</v>
      </c>
      <c r="W63" s="42">
        <f t="shared" si="41"/>
        <v>0</v>
      </c>
    </row>
    <row r="64" spans="1:23" x14ac:dyDescent="0.2">
      <c r="A64" s="8"/>
      <c r="B64" s="8"/>
      <c r="C64" s="8"/>
      <c r="D64" s="20" t="s">
        <v>93</v>
      </c>
      <c r="E64" s="8"/>
      <c r="F64" s="8"/>
      <c r="G64" s="8"/>
      <c r="H64" s="9" t="s">
        <v>17</v>
      </c>
      <c r="I64" s="8"/>
      <c r="J64" s="44">
        <f t="shared" si="34"/>
        <v>76438479.56820178</v>
      </c>
      <c r="K64" s="8"/>
      <c r="L64" s="8"/>
      <c r="M64" s="44">
        <f t="shared" ref="M64:W64" si="42">SUM(M57:M63)</f>
        <v>3000000</v>
      </c>
      <c r="N64" s="44">
        <f t="shared" si="42"/>
        <v>5450000</v>
      </c>
      <c r="O64" s="44">
        <f t="shared" si="42"/>
        <v>3568000</v>
      </c>
      <c r="P64" s="44">
        <f t="shared" si="42"/>
        <v>4338725.0000000037</v>
      </c>
      <c r="Q64" s="44">
        <f t="shared" si="42"/>
        <v>4160332.950000003</v>
      </c>
      <c r="R64" s="44">
        <f t="shared" si="42"/>
        <v>6037050.2325000037</v>
      </c>
      <c r="S64" s="44">
        <f t="shared" si="42"/>
        <v>6973452.2428550031</v>
      </c>
      <c r="T64" s="44">
        <f t="shared" si="42"/>
        <v>7974492.0734612532</v>
      </c>
      <c r="U64" s="44">
        <f t="shared" si="42"/>
        <v>9012171.8060879558</v>
      </c>
      <c r="V64" s="44">
        <f t="shared" si="42"/>
        <v>12540766.806453312</v>
      </c>
      <c r="W64" s="44">
        <f t="shared" si="42"/>
        <v>13383488.456844242</v>
      </c>
    </row>
    <row r="65" spans="1:23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x14ac:dyDescent="0.2">
      <c r="A66" s="8"/>
      <c r="B66" s="8"/>
      <c r="C66" s="8"/>
      <c r="D66" s="8" t="s">
        <v>71</v>
      </c>
      <c r="E66" s="8"/>
      <c r="F66" s="8"/>
      <c r="G66" s="8"/>
      <c r="H66" s="9" t="s">
        <v>17</v>
      </c>
      <c r="I66" s="8"/>
      <c r="J66" s="42">
        <f>SUM(M66:W66)</f>
        <v>-72438479.56820178</v>
      </c>
      <c r="K66" s="8"/>
      <c r="L66" s="8"/>
      <c r="M66" s="42">
        <f t="shared" ref="M66:W66" si="43">M73</f>
        <v>0</v>
      </c>
      <c r="N66" s="43">
        <f t="shared" si="43"/>
        <v>-4450000</v>
      </c>
      <c r="O66" s="42">
        <f t="shared" si="43"/>
        <v>-3568000</v>
      </c>
      <c r="P66" s="42">
        <f t="shared" si="43"/>
        <v>-4338725.0000000037</v>
      </c>
      <c r="Q66" s="42">
        <f t="shared" si="43"/>
        <v>-4160332.950000003</v>
      </c>
      <c r="R66" s="42">
        <f t="shared" si="43"/>
        <v>-6037050.2325000037</v>
      </c>
      <c r="S66" s="42">
        <f t="shared" si="43"/>
        <v>-6973452.2428550031</v>
      </c>
      <c r="T66" s="42">
        <f t="shared" si="43"/>
        <v>-7974492.0734612532</v>
      </c>
      <c r="U66" s="42">
        <f t="shared" si="43"/>
        <v>-9012171.8060879558</v>
      </c>
      <c r="V66" s="42">
        <f t="shared" si="43"/>
        <v>-12540766.806453312</v>
      </c>
      <c r="W66" s="42">
        <f t="shared" si="43"/>
        <v>-13383488.45684424</v>
      </c>
    </row>
    <row r="67" spans="1:23" x14ac:dyDescent="0.2">
      <c r="A67" s="8"/>
      <c r="B67" s="8"/>
      <c r="C67" s="8"/>
      <c r="D67" s="20" t="s">
        <v>94</v>
      </c>
      <c r="E67" s="8"/>
      <c r="F67" s="8"/>
      <c r="G67" s="8"/>
      <c r="H67" s="9" t="s">
        <v>17</v>
      </c>
      <c r="I67" s="8"/>
      <c r="J67" s="44">
        <f>SUM(M67:W67)</f>
        <v>4000000</v>
      </c>
      <c r="K67" s="8"/>
      <c r="L67" s="8"/>
      <c r="M67" s="44">
        <f t="shared" ref="M67:W67" si="44">SUM(M64,M66)</f>
        <v>3000000</v>
      </c>
      <c r="N67" s="44">
        <f t="shared" si="44"/>
        <v>1000000</v>
      </c>
      <c r="O67" s="44">
        <f t="shared" si="44"/>
        <v>0</v>
      </c>
      <c r="P67" s="44">
        <f t="shared" si="44"/>
        <v>0</v>
      </c>
      <c r="Q67" s="44">
        <f t="shared" si="44"/>
        <v>0</v>
      </c>
      <c r="R67" s="44">
        <f t="shared" si="44"/>
        <v>0</v>
      </c>
      <c r="S67" s="44">
        <f t="shared" si="44"/>
        <v>0</v>
      </c>
      <c r="T67" s="44">
        <f t="shared" si="44"/>
        <v>0</v>
      </c>
      <c r="U67" s="44">
        <f t="shared" si="44"/>
        <v>0</v>
      </c>
      <c r="V67" s="44">
        <f t="shared" si="44"/>
        <v>0</v>
      </c>
      <c r="W67" s="44">
        <f t="shared" si="44"/>
        <v>0</v>
      </c>
    </row>
    <row r="68" spans="1:23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x14ac:dyDescent="0.2">
      <c r="A70" s="8"/>
      <c r="B70" s="8"/>
      <c r="C70" s="11" t="s">
        <v>96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x14ac:dyDescent="0.2">
      <c r="A71" s="8"/>
      <c r="B71" s="8"/>
      <c r="C71" s="8"/>
      <c r="D71" s="8" t="s">
        <v>97</v>
      </c>
      <c r="E71" s="8"/>
      <c r="F71" s="8"/>
      <c r="G71" s="8"/>
      <c r="H71" s="9" t="s">
        <v>17</v>
      </c>
      <c r="I71" s="8"/>
      <c r="J71" s="8"/>
      <c r="K71" s="8"/>
      <c r="L71" s="8"/>
      <c r="M71" s="42">
        <f t="shared" ref="M71:W71" si="45">L74</f>
        <v>0</v>
      </c>
      <c r="N71" s="43">
        <f t="shared" si="45"/>
        <v>3000000</v>
      </c>
      <c r="O71" s="42">
        <f t="shared" si="45"/>
        <v>4000000</v>
      </c>
      <c r="P71" s="42">
        <f t="shared" si="45"/>
        <v>4000000</v>
      </c>
      <c r="Q71" s="42">
        <f t="shared" si="45"/>
        <v>4000000</v>
      </c>
      <c r="R71" s="42">
        <f t="shared" si="45"/>
        <v>4000000</v>
      </c>
      <c r="S71" s="42">
        <f t="shared" si="45"/>
        <v>4000000</v>
      </c>
      <c r="T71" s="42">
        <f t="shared" si="45"/>
        <v>4000000</v>
      </c>
      <c r="U71" s="42">
        <f t="shared" si="45"/>
        <v>4000000</v>
      </c>
      <c r="V71" s="42">
        <f t="shared" si="45"/>
        <v>4000000</v>
      </c>
      <c r="W71" s="42">
        <f t="shared" si="45"/>
        <v>4000000</v>
      </c>
    </row>
    <row r="72" spans="1:23" x14ac:dyDescent="0.2">
      <c r="A72" s="8"/>
      <c r="B72" s="8"/>
      <c r="C72" s="8"/>
      <c r="D72" s="8" t="s">
        <v>98</v>
      </c>
      <c r="E72" s="8"/>
      <c r="F72" s="8"/>
      <c r="G72" s="8"/>
      <c r="H72" s="9" t="s">
        <v>17</v>
      </c>
      <c r="I72" s="8"/>
      <c r="J72" s="42">
        <f>SUM(M72:W72)</f>
        <v>76438479.56820178</v>
      </c>
      <c r="K72" s="8"/>
      <c r="L72" s="8"/>
      <c r="M72" s="42">
        <f t="shared" ref="M72:W72" si="46">M64</f>
        <v>3000000</v>
      </c>
      <c r="N72" s="43">
        <f t="shared" si="46"/>
        <v>5450000</v>
      </c>
      <c r="O72" s="42">
        <f t="shared" si="46"/>
        <v>3568000</v>
      </c>
      <c r="P72" s="42">
        <f t="shared" si="46"/>
        <v>4338725.0000000037</v>
      </c>
      <c r="Q72" s="42">
        <f t="shared" si="46"/>
        <v>4160332.950000003</v>
      </c>
      <c r="R72" s="42">
        <f t="shared" si="46"/>
        <v>6037050.2325000037</v>
      </c>
      <c r="S72" s="42">
        <f t="shared" si="46"/>
        <v>6973452.2428550031</v>
      </c>
      <c r="T72" s="42">
        <f t="shared" si="46"/>
        <v>7974492.0734612532</v>
      </c>
      <c r="U72" s="42">
        <f t="shared" si="46"/>
        <v>9012171.8060879558</v>
      </c>
      <c r="V72" s="42">
        <f t="shared" si="46"/>
        <v>12540766.806453312</v>
      </c>
      <c r="W72" s="42">
        <f t="shared" si="46"/>
        <v>13383488.456844242</v>
      </c>
    </row>
    <row r="73" spans="1:23" x14ac:dyDescent="0.2">
      <c r="A73" s="8"/>
      <c r="B73" s="8"/>
      <c r="C73" s="8"/>
      <c r="D73" s="8" t="s">
        <v>71</v>
      </c>
      <c r="E73" s="8"/>
      <c r="F73" s="27">
        <f>Assumptions!J52</f>
        <v>4000000</v>
      </c>
      <c r="G73" s="8"/>
      <c r="H73" s="9" t="s">
        <v>17</v>
      </c>
      <c r="I73" s="8"/>
      <c r="J73" s="42">
        <f>SUM(M73:W73)</f>
        <v>-72438479.56820178</v>
      </c>
      <c r="K73" s="8"/>
      <c r="L73" s="8"/>
      <c r="M73" s="43">
        <f t="shared" ref="M73:W73" si="47">-MAX(0,SUM(M71:M72,-$F73))</f>
        <v>0</v>
      </c>
      <c r="N73" s="43">
        <f t="shared" si="47"/>
        <v>-4450000</v>
      </c>
      <c r="O73" s="42">
        <f t="shared" si="47"/>
        <v>-3568000</v>
      </c>
      <c r="P73" s="42">
        <f t="shared" si="47"/>
        <v>-4338725.0000000037</v>
      </c>
      <c r="Q73" s="42">
        <f t="shared" si="47"/>
        <v>-4160332.950000003</v>
      </c>
      <c r="R73" s="42">
        <f t="shared" si="47"/>
        <v>-6037050.2325000037</v>
      </c>
      <c r="S73" s="42">
        <f t="shared" si="47"/>
        <v>-6973452.2428550031</v>
      </c>
      <c r="T73" s="42">
        <f t="shared" si="47"/>
        <v>-7974492.0734612532</v>
      </c>
      <c r="U73" s="42">
        <f t="shared" si="47"/>
        <v>-9012171.8060879558</v>
      </c>
      <c r="V73" s="42">
        <f t="shared" si="47"/>
        <v>-12540766.806453312</v>
      </c>
      <c r="W73" s="42">
        <f t="shared" si="47"/>
        <v>-13383488.45684424</v>
      </c>
    </row>
    <row r="74" spans="1:23" x14ac:dyDescent="0.2">
      <c r="A74" s="8"/>
      <c r="B74" s="8"/>
      <c r="C74" s="8"/>
      <c r="D74" s="20" t="s">
        <v>99</v>
      </c>
      <c r="E74" s="8"/>
      <c r="F74" s="8"/>
      <c r="G74" s="8"/>
      <c r="H74" s="9" t="s">
        <v>17</v>
      </c>
      <c r="I74" s="8"/>
      <c r="J74" s="44">
        <f t="shared" ref="J74" si="48">SUM(J71:J73)</f>
        <v>4000000</v>
      </c>
      <c r="K74" s="8"/>
      <c r="L74" s="8"/>
      <c r="M74" s="44">
        <f t="shared" ref="M74:W74" si="49">SUM(M71:M73)</f>
        <v>3000000</v>
      </c>
      <c r="N74" s="44">
        <f t="shared" si="49"/>
        <v>4000000</v>
      </c>
      <c r="O74" s="44">
        <f t="shared" si="49"/>
        <v>4000000</v>
      </c>
      <c r="P74" s="44">
        <f t="shared" si="49"/>
        <v>4000000</v>
      </c>
      <c r="Q74" s="44">
        <f t="shared" si="49"/>
        <v>4000000</v>
      </c>
      <c r="R74" s="44">
        <f t="shared" si="49"/>
        <v>4000000</v>
      </c>
      <c r="S74" s="44">
        <f t="shared" si="49"/>
        <v>4000000</v>
      </c>
      <c r="T74" s="44">
        <f t="shared" si="49"/>
        <v>4000000</v>
      </c>
      <c r="U74" s="44">
        <f t="shared" si="49"/>
        <v>4000000</v>
      </c>
      <c r="V74" s="44">
        <f t="shared" si="49"/>
        <v>4000000</v>
      </c>
      <c r="W74" s="44">
        <f t="shared" si="49"/>
        <v>4000000</v>
      </c>
    </row>
    <row r="75" spans="1:23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8"/>
      <c r="B76" s="8"/>
      <c r="C76" s="8"/>
      <c r="D76" s="8" t="s">
        <v>122</v>
      </c>
      <c r="E76" s="8"/>
      <c r="F76" s="8"/>
      <c r="G76" s="8"/>
      <c r="H76" s="9" t="s">
        <v>121</v>
      </c>
      <c r="I76" s="8"/>
      <c r="J76" s="8"/>
      <c r="K76" s="8"/>
      <c r="L76" s="8"/>
      <c r="M76" s="8">
        <f>ROUND(M34-M74,6)</f>
        <v>0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" customHeight="1" x14ac:dyDescent="0.2">
      <c r="A78" s="15">
        <f>MAX(A$3:A77)+0.01</f>
        <v>2.0399999999999991</v>
      </c>
      <c r="B78" s="15"/>
      <c r="C78" s="15" t="s">
        <v>101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8"/>
      <c r="B80" s="8"/>
      <c r="C80" s="11" t="s">
        <v>101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8"/>
      <c r="B81" s="8"/>
      <c r="C81" s="8"/>
      <c r="D81" s="8" t="s">
        <v>97</v>
      </c>
      <c r="E81" s="8"/>
      <c r="F81" s="8"/>
      <c r="G81" s="8"/>
      <c r="H81" s="9" t="s">
        <v>17</v>
      </c>
      <c r="I81" s="8"/>
      <c r="J81" s="8"/>
      <c r="K81" s="8"/>
      <c r="L81" s="8"/>
      <c r="M81" s="42">
        <f t="shared" ref="M81:W81" si="50">L84</f>
        <v>0</v>
      </c>
      <c r="N81" s="43">
        <f t="shared" si="50"/>
        <v>20000000</v>
      </c>
      <c r="O81" s="42">
        <f t="shared" si="50"/>
        <v>17500000</v>
      </c>
      <c r="P81" s="42">
        <f t="shared" si="50"/>
        <v>15000000</v>
      </c>
      <c r="Q81" s="42">
        <f t="shared" si="50"/>
        <v>12500000</v>
      </c>
      <c r="R81" s="42">
        <f t="shared" si="50"/>
        <v>10000000</v>
      </c>
      <c r="S81" s="42">
        <f t="shared" si="50"/>
        <v>7500000</v>
      </c>
      <c r="T81" s="42">
        <f t="shared" si="50"/>
        <v>5000000</v>
      </c>
      <c r="U81" s="42">
        <f t="shared" si="50"/>
        <v>2500000</v>
      </c>
      <c r="V81" s="42">
        <f t="shared" si="50"/>
        <v>0</v>
      </c>
      <c r="W81" s="42">
        <f t="shared" si="50"/>
        <v>0</v>
      </c>
    </row>
    <row r="82" spans="1:23" x14ac:dyDescent="0.2">
      <c r="A82" s="8"/>
      <c r="B82" s="8"/>
      <c r="C82" s="8"/>
      <c r="D82" s="8" t="s">
        <v>102</v>
      </c>
      <c r="E82" s="8"/>
      <c r="F82" s="27">
        <f>Assumptions!J43</f>
        <v>20000000</v>
      </c>
      <c r="G82" s="8"/>
      <c r="H82" s="9" t="s">
        <v>17</v>
      </c>
      <c r="I82" s="8"/>
      <c r="J82" s="42">
        <f>SUM(M82:W82)</f>
        <v>20000000</v>
      </c>
      <c r="K82" s="8"/>
      <c r="L82" s="8"/>
      <c r="M82" s="42">
        <f t="shared" ref="M82:W82" si="51">$F82*(M$8=0)</f>
        <v>20000000</v>
      </c>
      <c r="N82" s="43">
        <f t="shared" si="51"/>
        <v>0</v>
      </c>
      <c r="O82" s="42">
        <f t="shared" si="51"/>
        <v>0</v>
      </c>
      <c r="P82" s="42">
        <f t="shared" si="51"/>
        <v>0</v>
      </c>
      <c r="Q82" s="42">
        <f t="shared" si="51"/>
        <v>0</v>
      </c>
      <c r="R82" s="42">
        <f t="shared" si="51"/>
        <v>0</v>
      </c>
      <c r="S82" s="42">
        <f t="shared" si="51"/>
        <v>0</v>
      </c>
      <c r="T82" s="42">
        <f t="shared" si="51"/>
        <v>0</v>
      </c>
      <c r="U82" s="42">
        <f t="shared" si="51"/>
        <v>0</v>
      </c>
      <c r="V82" s="42">
        <f t="shared" si="51"/>
        <v>0</v>
      </c>
      <c r="W82" s="42">
        <f t="shared" si="51"/>
        <v>0</v>
      </c>
    </row>
    <row r="83" spans="1:23" x14ac:dyDescent="0.2">
      <c r="A83" s="8"/>
      <c r="B83" s="8"/>
      <c r="C83" s="8"/>
      <c r="D83" s="8" t="s">
        <v>103</v>
      </c>
      <c r="E83" s="8"/>
      <c r="F83" s="27">
        <f>Assumptions!J44</f>
        <v>2500000</v>
      </c>
      <c r="G83" s="8"/>
      <c r="H83" s="9" t="s">
        <v>17</v>
      </c>
      <c r="I83" s="8"/>
      <c r="J83" s="42">
        <f>SUM(M83:W83)</f>
        <v>-20000000</v>
      </c>
      <c r="K83" s="8"/>
      <c r="L83" s="8"/>
      <c r="M83" s="42">
        <f t="shared" ref="M83:W83" si="52">-MIN(M81,$F83)</f>
        <v>0</v>
      </c>
      <c r="N83" s="43">
        <f t="shared" si="52"/>
        <v>-2500000</v>
      </c>
      <c r="O83" s="42">
        <f t="shared" si="52"/>
        <v>-2500000</v>
      </c>
      <c r="P83" s="42">
        <f t="shared" si="52"/>
        <v>-2500000</v>
      </c>
      <c r="Q83" s="42">
        <f t="shared" si="52"/>
        <v>-2500000</v>
      </c>
      <c r="R83" s="42">
        <f t="shared" si="52"/>
        <v>-2500000</v>
      </c>
      <c r="S83" s="42">
        <f t="shared" si="52"/>
        <v>-2500000</v>
      </c>
      <c r="T83" s="42">
        <f t="shared" si="52"/>
        <v>-2500000</v>
      </c>
      <c r="U83" s="42">
        <f t="shared" si="52"/>
        <v>-2500000</v>
      </c>
      <c r="V83" s="42">
        <f t="shared" si="52"/>
        <v>0</v>
      </c>
      <c r="W83" s="42">
        <f t="shared" si="52"/>
        <v>0</v>
      </c>
    </row>
    <row r="84" spans="1:23" x14ac:dyDescent="0.2">
      <c r="A84" s="8"/>
      <c r="B84" s="8"/>
      <c r="C84" s="8"/>
      <c r="D84" s="20" t="s">
        <v>111</v>
      </c>
      <c r="E84" s="8"/>
      <c r="F84" s="8"/>
      <c r="G84" s="8"/>
      <c r="H84" s="9" t="s">
        <v>17</v>
      </c>
      <c r="I84" s="8"/>
      <c r="J84" s="44">
        <f t="shared" ref="J84" si="53">SUM(J81:J83)</f>
        <v>0</v>
      </c>
      <c r="K84" s="8"/>
      <c r="L84" s="8"/>
      <c r="M84" s="44">
        <f t="shared" ref="M84" si="54">SUM(M81:M83)</f>
        <v>20000000</v>
      </c>
      <c r="N84" s="44">
        <f t="shared" ref="N84" si="55">SUM(N81:N83)</f>
        <v>17500000</v>
      </c>
      <c r="O84" s="44">
        <f t="shared" ref="O84" si="56">SUM(O81:O83)</f>
        <v>15000000</v>
      </c>
      <c r="P84" s="44">
        <f t="shared" ref="P84" si="57">SUM(P81:P83)</f>
        <v>12500000</v>
      </c>
      <c r="Q84" s="44">
        <f t="shared" ref="Q84" si="58">SUM(Q81:Q83)</f>
        <v>10000000</v>
      </c>
      <c r="R84" s="44">
        <f t="shared" ref="R84" si="59">SUM(R81:R83)</f>
        <v>7500000</v>
      </c>
      <c r="S84" s="44">
        <f t="shared" ref="S84" si="60">SUM(S81:S83)</f>
        <v>5000000</v>
      </c>
      <c r="T84" s="44">
        <f t="shared" ref="T84" si="61">SUM(T81:T83)</f>
        <v>2500000</v>
      </c>
      <c r="U84" s="44">
        <f t="shared" ref="U84" si="62">SUM(U81:U83)</f>
        <v>0</v>
      </c>
      <c r="V84" s="44">
        <f t="shared" ref="V84" si="63">SUM(V81:V83)</f>
        <v>0</v>
      </c>
      <c r="W84" s="44">
        <f t="shared" ref="W84" si="64">SUM(W81:W83)</f>
        <v>0</v>
      </c>
    </row>
    <row r="85" spans="1:23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x14ac:dyDescent="0.2">
      <c r="A86" s="8"/>
      <c r="B86" s="8"/>
      <c r="C86" s="8"/>
      <c r="D86" s="8" t="s">
        <v>81</v>
      </c>
      <c r="E86" s="8"/>
      <c r="F86" s="47">
        <f>Assumptions!J42</f>
        <v>6.5000000000000002E-2</v>
      </c>
      <c r="G86" s="8"/>
      <c r="H86" s="9" t="s">
        <v>17</v>
      </c>
      <c r="I86" s="8"/>
      <c r="J86" s="8"/>
      <c r="K86" s="8"/>
      <c r="L86" s="8"/>
      <c r="M86" s="42">
        <f t="shared" ref="M86:W86" si="65">M81*$F86</f>
        <v>0</v>
      </c>
      <c r="N86" s="43">
        <f t="shared" si="65"/>
        <v>1300000</v>
      </c>
      <c r="O86" s="42">
        <f t="shared" si="65"/>
        <v>1137500</v>
      </c>
      <c r="P86" s="42">
        <f t="shared" si="65"/>
        <v>975000</v>
      </c>
      <c r="Q86" s="42">
        <f t="shared" si="65"/>
        <v>812500</v>
      </c>
      <c r="R86" s="42">
        <f t="shared" si="65"/>
        <v>650000</v>
      </c>
      <c r="S86" s="42">
        <f t="shared" si="65"/>
        <v>487500</v>
      </c>
      <c r="T86" s="42">
        <f t="shared" si="65"/>
        <v>325000</v>
      </c>
      <c r="U86" s="42">
        <f t="shared" si="65"/>
        <v>162500</v>
      </c>
      <c r="V86" s="42">
        <f t="shared" si="65"/>
        <v>0</v>
      </c>
      <c r="W86" s="42">
        <f t="shared" si="65"/>
        <v>0</v>
      </c>
    </row>
    <row r="87" spans="1:23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" customHeight="1" x14ac:dyDescent="0.2">
      <c r="A89" s="15">
        <f>MAX(A$3:A88)+0.01</f>
        <v>2.0499999999999989</v>
      </c>
      <c r="B89" s="15"/>
      <c r="C89" s="15" t="s">
        <v>12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8"/>
      <c r="B91" s="8"/>
      <c r="C91" s="8"/>
      <c r="D91" s="8" t="s">
        <v>105</v>
      </c>
      <c r="E91" s="8"/>
      <c r="F91" s="8"/>
      <c r="G91" s="8"/>
      <c r="H91" s="9" t="s">
        <v>17</v>
      </c>
      <c r="I91" s="8"/>
      <c r="J91" s="8"/>
      <c r="K91" s="8"/>
      <c r="L91" s="8"/>
      <c r="M91" s="42">
        <f t="shared" ref="M91:W91" si="66">L35-M35</f>
        <v>-3000000</v>
      </c>
      <c r="N91" s="43">
        <f t="shared" si="66"/>
        <v>500000</v>
      </c>
      <c r="O91" s="42">
        <f t="shared" si="66"/>
        <v>-200000</v>
      </c>
      <c r="P91" s="42">
        <f t="shared" si="66"/>
        <v>-216000.00000000047</v>
      </c>
      <c r="Q91" s="42">
        <f t="shared" si="66"/>
        <v>-233280.00000000047</v>
      </c>
      <c r="R91" s="42">
        <f t="shared" si="66"/>
        <v>-251942.39999999991</v>
      </c>
      <c r="S91" s="42">
        <f t="shared" si="66"/>
        <v>-272097.79200000037</v>
      </c>
      <c r="T91" s="42">
        <f t="shared" si="66"/>
        <v>-293865.61535999971</v>
      </c>
      <c r="U91" s="42">
        <f t="shared" si="66"/>
        <v>-300000</v>
      </c>
      <c r="V91" s="42">
        <f t="shared" si="66"/>
        <v>-300000</v>
      </c>
      <c r="W91" s="42">
        <f t="shared" si="66"/>
        <v>-300000</v>
      </c>
    </row>
    <row r="92" spans="1:23" x14ac:dyDescent="0.2">
      <c r="A92" s="8"/>
      <c r="B92" s="8"/>
      <c r="C92" s="8"/>
      <c r="D92" s="8" t="s">
        <v>104</v>
      </c>
      <c r="E92" s="8"/>
      <c r="F92" s="8"/>
      <c r="G92" s="8"/>
      <c r="H92" s="9" t="s">
        <v>17</v>
      </c>
      <c r="I92" s="8"/>
      <c r="J92" s="8"/>
      <c r="K92" s="8"/>
      <c r="L92" s="8"/>
      <c r="M92" s="42">
        <f t="shared" ref="M92:W92" si="67">L36-M36</f>
        <v>-4000000</v>
      </c>
      <c r="N92" s="43">
        <f t="shared" si="67"/>
        <v>-500000</v>
      </c>
      <c r="O92" s="42">
        <f t="shared" si="67"/>
        <v>-360000</v>
      </c>
      <c r="P92" s="42">
        <f t="shared" si="67"/>
        <v>-388800</v>
      </c>
      <c r="Q92" s="42">
        <f t="shared" si="67"/>
        <v>-419904.00000000093</v>
      </c>
      <c r="R92" s="42">
        <f t="shared" si="67"/>
        <v>-453496.31999999937</v>
      </c>
      <c r="S92" s="42">
        <f t="shared" si="67"/>
        <v>-489776.02560000122</v>
      </c>
      <c r="T92" s="42">
        <f t="shared" si="67"/>
        <v>-528958.10764800012</v>
      </c>
      <c r="U92" s="42">
        <f t="shared" si="67"/>
        <v>-540000</v>
      </c>
      <c r="V92" s="42">
        <f t="shared" si="67"/>
        <v>-540000</v>
      </c>
      <c r="W92" s="42">
        <f t="shared" si="67"/>
        <v>-540000</v>
      </c>
    </row>
    <row r="93" spans="1:23" x14ac:dyDescent="0.2">
      <c r="A93" s="8"/>
      <c r="B93" s="8"/>
      <c r="C93" s="8"/>
      <c r="D93" s="8" t="s">
        <v>106</v>
      </c>
      <c r="E93" s="8"/>
      <c r="F93" s="8"/>
      <c r="G93" s="8"/>
      <c r="H93" s="9" t="s">
        <v>17</v>
      </c>
      <c r="I93" s="8"/>
      <c r="J93" s="8"/>
      <c r="K93" s="8"/>
      <c r="L93" s="8"/>
      <c r="M93" s="42">
        <f t="shared" ref="M93:W93" si="68">M41-L41</f>
        <v>0</v>
      </c>
      <c r="N93" s="43">
        <f t="shared" si="68"/>
        <v>2250000</v>
      </c>
      <c r="O93" s="42">
        <f t="shared" si="68"/>
        <v>175500</v>
      </c>
      <c r="P93" s="42">
        <f t="shared" si="68"/>
        <v>189225</v>
      </c>
      <c r="Q93" s="42">
        <f t="shared" si="68"/>
        <v>204025.95000000065</v>
      </c>
      <c r="R93" s="42">
        <f t="shared" si="68"/>
        <v>219987.38249999937</v>
      </c>
      <c r="S93" s="42">
        <f t="shared" si="68"/>
        <v>237200.4845550009</v>
      </c>
      <c r="T93" s="42">
        <f t="shared" si="68"/>
        <v>255763.62257624976</v>
      </c>
      <c r="U93" s="42">
        <f t="shared" si="68"/>
        <v>263273.00608324353</v>
      </c>
      <c r="V93" s="42">
        <f t="shared" si="68"/>
        <v>266582.11650907062</v>
      </c>
      <c r="W93" s="42">
        <f t="shared" si="68"/>
        <v>270122.86466470547</v>
      </c>
    </row>
    <row r="94" spans="1:23" x14ac:dyDescent="0.2">
      <c r="A94" s="8"/>
      <c r="B94" s="8"/>
      <c r="C94" s="8"/>
      <c r="D94" s="20" t="s">
        <v>107</v>
      </c>
      <c r="E94" s="8"/>
      <c r="F94" s="8"/>
      <c r="G94" s="8"/>
      <c r="H94" s="9" t="s">
        <v>17</v>
      </c>
      <c r="I94" s="8"/>
      <c r="J94" s="8"/>
      <c r="K94" s="8"/>
      <c r="L94" s="8"/>
      <c r="M94" s="44">
        <f t="shared" ref="M94" si="69">SUM(M91:M93)</f>
        <v>-7000000</v>
      </c>
      <c r="N94" s="44">
        <f t="shared" ref="N94" si="70">SUM(N91:N93)</f>
        <v>2250000</v>
      </c>
      <c r="O94" s="44">
        <f t="shared" ref="O94" si="71">SUM(O91:O93)</f>
        <v>-384500</v>
      </c>
      <c r="P94" s="44">
        <f t="shared" ref="P94" si="72">SUM(P91:P93)</f>
        <v>-415575.00000000047</v>
      </c>
      <c r="Q94" s="44">
        <f t="shared" ref="Q94" si="73">SUM(Q91:Q93)</f>
        <v>-449158.05000000075</v>
      </c>
      <c r="R94" s="44">
        <f t="shared" ref="R94" si="74">SUM(R91:R93)</f>
        <v>-485451.33749999991</v>
      </c>
      <c r="S94" s="44">
        <f t="shared" ref="S94" si="75">SUM(S91:S93)</f>
        <v>-524673.33304500068</v>
      </c>
      <c r="T94" s="44">
        <f t="shared" ref="T94" si="76">SUM(T91:T93)</f>
        <v>-567060.10043175006</v>
      </c>
      <c r="U94" s="44">
        <f t="shared" ref="U94" si="77">SUM(U91:U93)</f>
        <v>-576726.99391675647</v>
      </c>
      <c r="V94" s="44">
        <f t="shared" ref="V94" si="78">SUM(V91:V93)</f>
        <v>-573417.88349092938</v>
      </c>
      <c r="W94" s="44">
        <f t="shared" ref="W94" si="79">SUM(W91:W93)</f>
        <v>-569877.13533529453</v>
      </c>
    </row>
    <row r="95" spans="1:23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" customHeight="1" x14ac:dyDescent="0.2">
      <c r="A97" s="15">
        <f>MAX(A$3:A96)+0.01</f>
        <v>2.0599999999999987</v>
      </c>
      <c r="B97" s="15"/>
      <c r="C97" s="15" t="s">
        <v>108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8"/>
      <c r="B99" s="8"/>
      <c r="C99" s="11" t="s">
        <v>51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8"/>
      <c r="B100" s="8"/>
      <c r="C100" s="8"/>
      <c r="D100" s="8" t="s">
        <v>97</v>
      </c>
      <c r="E100" s="8"/>
      <c r="F100" s="8"/>
      <c r="G100" s="8"/>
      <c r="H100" s="9" t="s">
        <v>17</v>
      </c>
      <c r="I100" s="8"/>
      <c r="J100" s="8"/>
      <c r="K100" s="8"/>
      <c r="L100" s="8"/>
      <c r="M100" s="42">
        <f t="shared" ref="M100:W100" si="80">L103</f>
        <v>0</v>
      </c>
      <c r="N100" s="43">
        <f t="shared" si="80"/>
        <v>40000000</v>
      </c>
      <c r="O100" s="42">
        <f t="shared" si="80"/>
        <v>36000000</v>
      </c>
      <c r="P100" s="42">
        <f t="shared" si="80"/>
        <v>32000000</v>
      </c>
      <c r="Q100" s="42">
        <f t="shared" si="80"/>
        <v>28000000</v>
      </c>
      <c r="R100" s="42">
        <f t="shared" si="80"/>
        <v>24000000</v>
      </c>
      <c r="S100" s="42">
        <f t="shared" si="80"/>
        <v>20000000</v>
      </c>
      <c r="T100" s="42">
        <f t="shared" si="80"/>
        <v>16000000</v>
      </c>
      <c r="U100" s="42">
        <f t="shared" si="80"/>
        <v>12000000</v>
      </c>
      <c r="V100" s="42">
        <f t="shared" si="80"/>
        <v>8000000</v>
      </c>
      <c r="W100" s="42">
        <f t="shared" si="80"/>
        <v>4000000</v>
      </c>
    </row>
    <row r="101" spans="1:23" x14ac:dyDescent="0.2">
      <c r="A101" s="8"/>
      <c r="B101" s="8"/>
      <c r="C101" s="8"/>
      <c r="D101" s="8" t="s">
        <v>109</v>
      </c>
      <c r="E101" s="8"/>
      <c r="F101" s="27">
        <f>Assumptions!J26</f>
        <v>40000000</v>
      </c>
      <c r="G101" s="8"/>
      <c r="H101" s="9" t="s">
        <v>17</v>
      </c>
      <c r="I101" s="8"/>
      <c r="J101" s="42">
        <f>SUM(M101:W101)</f>
        <v>40000000</v>
      </c>
      <c r="K101" s="8"/>
      <c r="L101" s="8"/>
      <c r="M101" s="42">
        <f t="shared" ref="M101:W101" si="81">$F101*(M$8=0)</f>
        <v>40000000</v>
      </c>
      <c r="N101" s="43">
        <f t="shared" si="81"/>
        <v>0</v>
      </c>
      <c r="O101" s="42">
        <f t="shared" si="81"/>
        <v>0</v>
      </c>
      <c r="P101" s="42">
        <f t="shared" si="81"/>
        <v>0</v>
      </c>
      <c r="Q101" s="42">
        <f t="shared" si="81"/>
        <v>0</v>
      </c>
      <c r="R101" s="42">
        <f t="shared" si="81"/>
        <v>0</v>
      </c>
      <c r="S101" s="42">
        <f t="shared" si="81"/>
        <v>0</v>
      </c>
      <c r="T101" s="42">
        <f t="shared" si="81"/>
        <v>0</v>
      </c>
      <c r="U101" s="42">
        <f t="shared" si="81"/>
        <v>0</v>
      </c>
      <c r="V101" s="42">
        <f t="shared" si="81"/>
        <v>0</v>
      </c>
      <c r="W101" s="42">
        <f t="shared" si="81"/>
        <v>0</v>
      </c>
    </row>
    <row r="102" spans="1:23" x14ac:dyDescent="0.2">
      <c r="A102" s="8"/>
      <c r="B102" s="8"/>
      <c r="C102" s="8"/>
      <c r="D102" s="8" t="s">
        <v>110</v>
      </c>
      <c r="E102" s="8"/>
      <c r="F102" s="27">
        <f>Assumptions!J27</f>
        <v>10</v>
      </c>
      <c r="G102" s="8"/>
      <c r="H102" s="9" t="s">
        <v>17</v>
      </c>
      <c r="I102" s="8"/>
      <c r="J102" s="42">
        <f>SUM(M102:W102)</f>
        <v>-40000000</v>
      </c>
      <c r="K102" s="8"/>
      <c r="L102" s="8"/>
      <c r="M102" s="42">
        <f t="shared" ref="M102:W102" si="82">-MIN(M100,$F101/$F102)</f>
        <v>0</v>
      </c>
      <c r="N102" s="43">
        <f t="shared" si="82"/>
        <v>-4000000</v>
      </c>
      <c r="O102" s="42">
        <f t="shared" si="82"/>
        <v>-4000000</v>
      </c>
      <c r="P102" s="42">
        <f t="shared" si="82"/>
        <v>-4000000</v>
      </c>
      <c r="Q102" s="42">
        <f t="shared" si="82"/>
        <v>-4000000</v>
      </c>
      <c r="R102" s="42">
        <f t="shared" si="82"/>
        <v>-4000000</v>
      </c>
      <c r="S102" s="42">
        <f t="shared" si="82"/>
        <v>-4000000</v>
      </c>
      <c r="T102" s="42">
        <f t="shared" si="82"/>
        <v>-4000000</v>
      </c>
      <c r="U102" s="42">
        <f t="shared" si="82"/>
        <v>-4000000</v>
      </c>
      <c r="V102" s="42">
        <f t="shared" si="82"/>
        <v>-4000000</v>
      </c>
      <c r="W102" s="42">
        <f t="shared" si="82"/>
        <v>-4000000</v>
      </c>
    </row>
    <row r="103" spans="1:23" x14ac:dyDescent="0.2">
      <c r="A103" s="8"/>
      <c r="B103" s="8"/>
      <c r="C103" s="8"/>
      <c r="D103" s="20" t="s">
        <v>112</v>
      </c>
      <c r="E103" s="8"/>
      <c r="F103" s="8"/>
      <c r="G103" s="8"/>
      <c r="H103" s="9" t="s">
        <v>17</v>
      </c>
      <c r="I103" s="8"/>
      <c r="J103" s="44">
        <f t="shared" ref="J103" si="83">SUM(J100:J102)</f>
        <v>0</v>
      </c>
      <c r="K103" s="8"/>
      <c r="L103" s="8"/>
      <c r="M103" s="44">
        <f t="shared" ref="M103" si="84">SUM(M100:M102)</f>
        <v>40000000</v>
      </c>
      <c r="N103" s="44">
        <f t="shared" ref="N103" si="85">SUM(N100:N102)</f>
        <v>36000000</v>
      </c>
      <c r="O103" s="44">
        <f t="shared" ref="O103" si="86">SUM(O100:O102)</f>
        <v>32000000</v>
      </c>
      <c r="P103" s="44">
        <f t="shared" ref="P103" si="87">SUM(P100:P102)</f>
        <v>28000000</v>
      </c>
      <c r="Q103" s="44">
        <f t="shared" ref="Q103" si="88">SUM(Q100:Q102)</f>
        <v>24000000</v>
      </c>
      <c r="R103" s="44">
        <f t="shared" ref="R103" si="89">SUM(R100:R102)</f>
        <v>20000000</v>
      </c>
      <c r="S103" s="44">
        <f t="shared" ref="S103" si="90">SUM(S100:S102)</f>
        <v>16000000</v>
      </c>
      <c r="T103" s="44">
        <f t="shared" ref="T103" si="91">SUM(T100:T102)</f>
        <v>12000000</v>
      </c>
      <c r="U103" s="44">
        <f t="shared" ref="U103" si="92">SUM(U100:U102)</f>
        <v>8000000</v>
      </c>
      <c r="V103" s="44">
        <f t="shared" ref="V103" si="93">SUM(V100:V102)</f>
        <v>4000000</v>
      </c>
      <c r="W103" s="44">
        <f t="shared" ref="W103" si="94">SUM(W100:W102)</f>
        <v>0</v>
      </c>
    </row>
    <row r="104" spans="1:23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">
      <c r="A105" s="8"/>
      <c r="B105" s="8"/>
      <c r="C105" s="11" t="s">
        <v>54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">
      <c r="A106" s="8"/>
      <c r="B106" s="8"/>
      <c r="C106" s="8"/>
      <c r="D106" s="8" t="s">
        <v>97</v>
      </c>
      <c r="E106" s="8"/>
      <c r="F106" s="8"/>
      <c r="G106" s="8"/>
      <c r="H106" s="9" t="s">
        <v>17</v>
      </c>
      <c r="I106" s="8"/>
      <c r="J106" s="8"/>
      <c r="K106" s="8"/>
      <c r="L106" s="8"/>
      <c r="M106" s="42">
        <f t="shared" ref="M106:W106" si="95">L109</f>
        <v>0</v>
      </c>
      <c r="N106" s="43">
        <f t="shared" si="95"/>
        <v>0</v>
      </c>
      <c r="O106" s="42">
        <f t="shared" si="95"/>
        <v>0</v>
      </c>
      <c r="P106" s="42">
        <f t="shared" si="95"/>
        <v>0</v>
      </c>
      <c r="Q106" s="42">
        <f t="shared" si="95"/>
        <v>0</v>
      </c>
      <c r="R106" s="42">
        <f t="shared" si="95"/>
        <v>10000000</v>
      </c>
      <c r="S106" s="42">
        <f t="shared" si="95"/>
        <v>8000000</v>
      </c>
      <c r="T106" s="42">
        <f t="shared" si="95"/>
        <v>6000000</v>
      </c>
      <c r="U106" s="42">
        <f t="shared" si="95"/>
        <v>4000000</v>
      </c>
      <c r="V106" s="42">
        <f t="shared" si="95"/>
        <v>2000000</v>
      </c>
      <c r="W106" s="42">
        <f t="shared" si="95"/>
        <v>0</v>
      </c>
    </row>
    <row r="107" spans="1:23" x14ac:dyDescent="0.2">
      <c r="A107" s="8"/>
      <c r="B107" s="8"/>
      <c r="C107" s="8"/>
      <c r="D107" s="8" t="s">
        <v>109</v>
      </c>
      <c r="E107" s="27">
        <f>Assumptions!J32</f>
        <v>4</v>
      </c>
      <c r="F107" s="27">
        <f>Assumptions!J30</f>
        <v>10000000</v>
      </c>
      <c r="G107" s="8"/>
      <c r="H107" s="9" t="s">
        <v>17</v>
      </c>
      <c r="I107" s="8"/>
      <c r="J107" s="42">
        <f>SUM(M107:W107)</f>
        <v>10000000</v>
      </c>
      <c r="K107" s="8"/>
      <c r="L107" s="8"/>
      <c r="M107" s="42">
        <f t="shared" ref="M107:W107" si="96">$F107*(M$8=$E107)</f>
        <v>0</v>
      </c>
      <c r="N107" s="43">
        <f t="shared" si="96"/>
        <v>0</v>
      </c>
      <c r="O107" s="42">
        <f t="shared" si="96"/>
        <v>0</v>
      </c>
      <c r="P107" s="42">
        <f t="shared" si="96"/>
        <v>0</v>
      </c>
      <c r="Q107" s="42">
        <f t="shared" si="96"/>
        <v>10000000</v>
      </c>
      <c r="R107" s="42">
        <f t="shared" si="96"/>
        <v>0</v>
      </c>
      <c r="S107" s="42">
        <f t="shared" si="96"/>
        <v>0</v>
      </c>
      <c r="T107" s="42">
        <f t="shared" si="96"/>
        <v>0</v>
      </c>
      <c r="U107" s="42">
        <f t="shared" si="96"/>
        <v>0</v>
      </c>
      <c r="V107" s="42">
        <f t="shared" si="96"/>
        <v>0</v>
      </c>
      <c r="W107" s="42">
        <f t="shared" si="96"/>
        <v>0</v>
      </c>
    </row>
    <row r="108" spans="1:23" x14ac:dyDescent="0.2">
      <c r="A108" s="8"/>
      <c r="B108" s="8"/>
      <c r="C108" s="8"/>
      <c r="D108" s="8" t="s">
        <v>110</v>
      </c>
      <c r="E108" s="8"/>
      <c r="F108" s="27">
        <f>Assumptions!J31</f>
        <v>5</v>
      </c>
      <c r="G108" s="8"/>
      <c r="H108" s="9" t="s">
        <v>17</v>
      </c>
      <c r="I108" s="8"/>
      <c r="J108" s="42">
        <f>SUM(M108:W108)</f>
        <v>-10000000</v>
      </c>
      <c r="K108" s="8"/>
      <c r="L108" s="8"/>
      <c r="M108" s="42">
        <f t="shared" ref="M108" si="97">-MIN(M106,$F107/$F108)</f>
        <v>0</v>
      </c>
      <c r="N108" s="43">
        <f t="shared" ref="N108" si="98">-MIN(N106,$F107/$F108)</f>
        <v>0</v>
      </c>
      <c r="O108" s="42">
        <f t="shared" ref="O108" si="99">-MIN(O106,$F107/$F108)</f>
        <v>0</v>
      </c>
      <c r="P108" s="42">
        <f t="shared" ref="P108" si="100">-MIN(P106,$F107/$F108)</f>
        <v>0</v>
      </c>
      <c r="Q108" s="42">
        <f t="shared" ref="Q108" si="101">-MIN(Q106,$F107/$F108)</f>
        <v>0</v>
      </c>
      <c r="R108" s="42">
        <f t="shared" ref="R108" si="102">-MIN(R106,$F107/$F108)</f>
        <v>-2000000</v>
      </c>
      <c r="S108" s="42">
        <f t="shared" ref="S108" si="103">-MIN(S106,$F107/$F108)</f>
        <v>-2000000</v>
      </c>
      <c r="T108" s="42">
        <f t="shared" ref="T108" si="104">-MIN(T106,$F107/$F108)</f>
        <v>-2000000</v>
      </c>
      <c r="U108" s="42">
        <f t="shared" ref="U108" si="105">-MIN(U106,$F107/$F108)</f>
        <v>-2000000</v>
      </c>
      <c r="V108" s="42">
        <f t="shared" ref="V108" si="106">-MIN(V106,$F107/$F108)</f>
        <v>-2000000</v>
      </c>
      <c r="W108" s="42">
        <f t="shared" ref="W108" si="107">-MIN(W106,$F107/$F108)</f>
        <v>0</v>
      </c>
    </row>
    <row r="109" spans="1:23" x14ac:dyDescent="0.2">
      <c r="A109" s="8"/>
      <c r="B109" s="8"/>
      <c r="C109" s="8"/>
      <c r="D109" s="20" t="s">
        <v>112</v>
      </c>
      <c r="E109" s="8"/>
      <c r="F109" s="8"/>
      <c r="G109" s="8"/>
      <c r="H109" s="9" t="s">
        <v>17</v>
      </c>
      <c r="I109" s="8"/>
      <c r="J109" s="44">
        <f t="shared" ref="J109" si="108">SUM(J106:J108)</f>
        <v>0</v>
      </c>
      <c r="K109" s="8"/>
      <c r="L109" s="8"/>
      <c r="M109" s="44">
        <f t="shared" ref="M109" si="109">SUM(M106:M108)</f>
        <v>0</v>
      </c>
      <c r="N109" s="44">
        <f t="shared" ref="N109" si="110">SUM(N106:N108)</f>
        <v>0</v>
      </c>
      <c r="O109" s="44">
        <f t="shared" ref="O109" si="111">SUM(O106:O108)</f>
        <v>0</v>
      </c>
      <c r="P109" s="44">
        <f t="shared" ref="P109" si="112">SUM(P106:P108)</f>
        <v>0</v>
      </c>
      <c r="Q109" s="44">
        <f t="shared" ref="Q109" si="113">SUM(Q106:Q108)</f>
        <v>10000000</v>
      </c>
      <c r="R109" s="44">
        <f t="shared" ref="R109" si="114">SUM(R106:R108)</f>
        <v>8000000</v>
      </c>
      <c r="S109" s="44">
        <f t="shared" ref="S109" si="115">SUM(S106:S108)</f>
        <v>6000000</v>
      </c>
      <c r="T109" s="44">
        <f t="shared" ref="T109" si="116">SUM(T106:T108)</f>
        <v>4000000</v>
      </c>
      <c r="U109" s="44">
        <f t="shared" ref="U109" si="117">SUM(U106:U108)</f>
        <v>2000000</v>
      </c>
      <c r="V109" s="44">
        <f t="shared" ref="V109" si="118">SUM(V106:V108)</f>
        <v>0</v>
      </c>
      <c r="W109" s="44">
        <f t="shared" ref="W109" si="119">SUM(W106:W108)</f>
        <v>0</v>
      </c>
    </row>
    <row r="110" spans="1:23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x14ac:dyDescent="0.2">
      <c r="A112" s="15">
        <f>MAX(A$3:A111)+0.01</f>
        <v>2.0699999999999985</v>
      </c>
      <c r="B112" s="15"/>
      <c r="C112" s="15" t="s">
        <v>113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2">
      <c r="A114" s="8"/>
      <c r="B114" s="8"/>
      <c r="C114" s="11" t="s">
        <v>114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2">
      <c r="A115" s="8"/>
      <c r="B115" s="8"/>
      <c r="C115" s="8"/>
      <c r="D115" s="8" t="s">
        <v>115</v>
      </c>
      <c r="E115" s="8"/>
      <c r="F115" s="8"/>
      <c r="G115" s="8"/>
      <c r="H115" s="9" t="s">
        <v>17</v>
      </c>
      <c r="I115" s="8"/>
      <c r="J115" s="42">
        <f>SUM(M115:W115)</f>
        <v>-39000000</v>
      </c>
      <c r="K115" s="8"/>
      <c r="L115" s="8"/>
      <c r="M115" s="42">
        <f t="shared" ref="M115:W115" si="120">-M63</f>
        <v>-30000000</v>
      </c>
      <c r="N115" s="43">
        <f t="shared" si="120"/>
        <v>0</v>
      </c>
      <c r="O115" s="42">
        <f t="shared" si="120"/>
        <v>0</v>
      </c>
      <c r="P115" s="42">
        <f t="shared" si="120"/>
        <v>0</v>
      </c>
      <c r="Q115" s="42">
        <f t="shared" si="120"/>
        <v>-9000000</v>
      </c>
      <c r="R115" s="42">
        <f t="shared" si="120"/>
        <v>0</v>
      </c>
      <c r="S115" s="42">
        <f t="shared" si="120"/>
        <v>0</v>
      </c>
      <c r="T115" s="42">
        <f t="shared" si="120"/>
        <v>0</v>
      </c>
      <c r="U115" s="42">
        <f t="shared" si="120"/>
        <v>0</v>
      </c>
      <c r="V115" s="42">
        <f t="shared" si="120"/>
        <v>0</v>
      </c>
      <c r="W115" s="42">
        <f t="shared" si="120"/>
        <v>0</v>
      </c>
    </row>
    <row r="116" spans="1:23" x14ac:dyDescent="0.2">
      <c r="A116" s="8"/>
      <c r="B116" s="8"/>
      <c r="C116" s="8"/>
      <c r="D116" s="8" t="s">
        <v>116</v>
      </c>
      <c r="E116" s="8"/>
      <c r="F116" s="8"/>
      <c r="G116" s="8"/>
      <c r="H116" s="9" t="s">
        <v>17</v>
      </c>
      <c r="I116" s="8"/>
      <c r="J116" s="42">
        <f>SUM(M116:W116)</f>
        <v>72438479.56820178</v>
      </c>
      <c r="K116" s="8"/>
      <c r="L116" s="8"/>
      <c r="M116" s="42">
        <f t="shared" ref="M116:W116" si="121">-M66</f>
        <v>0</v>
      </c>
      <c r="N116" s="43">
        <f t="shared" si="121"/>
        <v>4450000</v>
      </c>
      <c r="O116" s="42">
        <f t="shared" si="121"/>
        <v>3568000</v>
      </c>
      <c r="P116" s="42">
        <f t="shared" si="121"/>
        <v>4338725.0000000037</v>
      </c>
      <c r="Q116" s="42">
        <f t="shared" si="121"/>
        <v>4160332.950000003</v>
      </c>
      <c r="R116" s="42">
        <f t="shared" si="121"/>
        <v>6037050.2325000037</v>
      </c>
      <c r="S116" s="42">
        <f t="shared" si="121"/>
        <v>6973452.2428550031</v>
      </c>
      <c r="T116" s="42">
        <f t="shared" si="121"/>
        <v>7974492.0734612532</v>
      </c>
      <c r="U116" s="42">
        <f t="shared" si="121"/>
        <v>9012171.8060879558</v>
      </c>
      <c r="V116" s="42">
        <f t="shared" si="121"/>
        <v>12540766.806453312</v>
      </c>
      <c r="W116" s="42">
        <f t="shared" si="121"/>
        <v>13383488.45684424</v>
      </c>
    </row>
    <row r="117" spans="1:23" x14ac:dyDescent="0.2">
      <c r="A117" s="8"/>
      <c r="B117" s="8"/>
      <c r="C117" s="8"/>
      <c r="D117" s="20" t="s">
        <v>117</v>
      </c>
      <c r="E117" s="8"/>
      <c r="F117" s="8"/>
      <c r="G117" s="8"/>
      <c r="H117" s="9" t="s">
        <v>17</v>
      </c>
      <c r="I117" s="8"/>
      <c r="J117" s="44">
        <f>SUM(M117:W117)</f>
        <v>33438479.568201773</v>
      </c>
      <c r="K117" s="8"/>
      <c r="L117" s="8"/>
      <c r="M117" s="44">
        <f t="shared" ref="M117:W117" si="122">SUM(M115:M116)</f>
        <v>-30000000</v>
      </c>
      <c r="N117" s="44">
        <f t="shared" si="122"/>
        <v>4450000</v>
      </c>
      <c r="O117" s="44">
        <f t="shared" si="122"/>
        <v>3568000</v>
      </c>
      <c r="P117" s="44">
        <f t="shared" si="122"/>
        <v>4338725.0000000037</v>
      </c>
      <c r="Q117" s="44">
        <f t="shared" si="122"/>
        <v>-4839667.049999997</v>
      </c>
      <c r="R117" s="44">
        <f t="shared" si="122"/>
        <v>6037050.2325000037</v>
      </c>
      <c r="S117" s="44">
        <f t="shared" si="122"/>
        <v>6973452.2428550031</v>
      </c>
      <c r="T117" s="44">
        <f t="shared" si="122"/>
        <v>7974492.0734612532</v>
      </c>
      <c r="U117" s="44">
        <f t="shared" si="122"/>
        <v>9012171.8060879558</v>
      </c>
      <c r="V117" s="44">
        <f t="shared" si="122"/>
        <v>12540766.806453312</v>
      </c>
      <c r="W117" s="44">
        <f t="shared" si="122"/>
        <v>13383488.45684424</v>
      </c>
    </row>
    <row r="118" spans="1:23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2">
      <c r="A119" s="8"/>
      <c r="B119" s="8"/>
      <c r="C119" s="8"/>
      <c r="D119" s="8" t="s">
        <v>118</v>
      </c>
      <c r="E119" s="8"/>
      <c r="F119" s="8"/>
      <c r="G119" s="8"/>
      <c r="H119" s="9" t="s">
        <v>3</v>
      </c>
      <c r="I119" s="8"/>
      <c r="J119" s="25">
        <f>IRR(M117:W117)</f>
        <v>0.11919058546820738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2">
      <c r="A122" s="15">
        <f>MAX(A$3:A121)+0.01</f>
        <v>2.0799999999999983</v>
      </c>
      <c r="B122" s="15"/>
      <c r="C122" s="15" t="s">
        <v>119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2">
      <c r="A124" s="8"/>
      <c r="B124" s="8"/>
      <c r="C124" s="8"/>
      <c r="D124" s="56" t="s">
        <v>123</v>
      </c>
      <c r="E124" s="8"/>
      <c r="F124" s="8" t="s">
        <v>124</v>
      </c>
      <c r="G124" s="8"/>
      <c r="H124" s="8" t="s">
        <v>125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2">
      <c r="A125" s="8"/>
      <c r="B125" s="8">
        <v>16</v>
      </c>
      <c r="C125" s="8"/>
      <c r="D125" s="8">
        <f>MROUND(F125,1000)</f>
        <v>29160000</v>
      </c>
      <c r="E125" s="8"/>
      <c r="F125" s="8">
        <f>P14</f>
        <v>29160000.000000004</v>
      </c>
      <c r="G125" s="8"/>
      <c r="H125" s="51" t="s">
        <v>126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2">
      <c r="A126" s="8"/>
      <c r="B126" s="8">
        <f t="shared" ref="B126:B139" si="123">B125+1</f>
        <v>17</v>
      </c>
      <c r="C126" s="8"/>
      <c r="D126" s="8">
        <f t="shared" ref="D126:D137" si="124">MROUND(F126,1000)</f>
        <v>45672000</v>
      </c>
      <c r="E126" s="8"/>
      <c r="F126" s="8">
        <f>V14</f>
        <v>45671858.073600009</v>
      </c>
      <c r="G126" s="8"/>
      <c r="H126" s="51" t="s">
        <v>127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2">
      <c r="A127" s="8"/>
      <c r="B127" s="8">
        <f t="shared" si="123"/>
        <v>18</v>
      </c>
      <c r="C127" s="8"/>
      <c r="D127" s="8">
        <f t="shared" si="124"/>
        <v>216051000</v>
      </c>
      <c r="E127" s="8"/>
      <c r="F127" s="8">
        <f>-J16</f>
        <v>216051394.92864007</v>
      </c>
      <c r="G127" s="8"/>
      <c r="H127" s="51" t="s">
        <v>128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2">
      <c r="A128" s="8"/>
      <c r="B128" s="8">
        <f t="shared" si="123"/>
        <v>19</v>
      </c>
      <c r="C128" s="8"/>
      <c r="D128" s="53">
        <f>ROUND(F128,4)</f>
        <v>0.1135</v>
      </c>
      <c r="E128" s="8"/>
      <c r="F128" s="25">
        <f>-T17/T14</f>
        <v>0.11348576230522019</v>
      </c>
      <c r="G128" s="8"/>
      <c r="H128" s="51" t="s">
        <v>128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2">
      <c r="A129" s="8"/>
      <c r="B129" s="8">
        <f t="shared" si="123"/>
        <v>20</v>
      </c>
      <c r="C129" s="8"/>
      <c r="D129" s="8">
        <f t="shared" si="124"/>
        <v>5850000</v>
      </c>
      <c r="E129" s="8"/>
      <c r="F129" s="8">
        <f>-J58</f>
        <v>5850000</v>
      </c>
      <c r="G129" s="8"/>
      <c r="H129" s="51" t="s">
        <v>127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2">
      <c r="A130" s="8"/>
      <c r="B130" s="8">
        <f t="shared" si="123"/>
        <v>21</v>
      </c>
      <c r="C130" s="8"/>
      <c r="D130" s="26">
        <f>MROUND(F130,1000000)</f>
        <v>16000000</v>
      </c>
      <c r="E130" s="8"/>
      <c r="F130" s="8">
        <f>T37</f>
        <v>16000000</v>
      </c>
      <c r="G130" s="8"/>
      <c r="H130" s="51" t="s">
        <v>126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2">
      <c r="A131" s="8"/>
      <c r="B131" s="8">
        <f t="shared" si="123"/>
        <v>22</v>
      </c>
      <c r="C131" s="8"/>
      <c r="D131" s="8">
        <f t="shared" si="124"/>
        <v>6122000</v>
      </c>
      <c r="E131" s="8"/>
      <c r="F131" s="8">
        <f>R36</f>
        <v>6122200.3200000003</v>
      </c>
      <c r="G131" s="8"/>
      <c r="H131" s="51" t="s">
        <v>128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2">
      <c r="A132" s="8"/>
      <c r="B132" s="8">
        <f t="shared" si="123"/>
        <v>23</v>
      </c>
      <c r="C132" s="8"/>
      <c r="D132" s="8">
        <f t="shared" si="124"/>
        <v>36285000</v>
      </c>
      <c r="E132" s="8"/>
      <c r="F132" s="8">
        <f>S38</f>
        <v>36285296.537600003</v>
      </c>
      <c r="G132" s="8"/>
      <c r="H132" s="51" t="s">
        <v>129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2">
      <c r="A133" s="8"/>
      <c r="B133" s="8">
        <f t="shared" si="123"/>
        <v>24</v>
      </c>
      <c r="C133" s="8"/>
      <c r="D133" s="8">
        <f t="shared" si="124"/>
        <v>2819000</v>
      </c>
      <c r="E133" s="8"/>
      <c r="F133" s="8">
        <f>Q41</f>
        <v>2818750.9500000007</v>
      </c>
      <c r="G133" s="8"/>
      <c r="H133" s="51" t="s">
        <v>130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2">
      <c r="A134" s="8"/>
      <c r="B134" s="8">
        <f t="shared" si="123"/>
        <v>25</v>
      </c>
      <c r="C134" s="8"/>
      <c r="D134" s="8">
        <f t="shared" si="124"/>
        <v>7114000</v>
      </c>
      <c r="E134" s="8"/>
      <c r="F134" s="8">
        <f>V24</f>
        <v>7114184.6899442412</v>
      </c>
      <c r="G134" s="8"/>
      <c r="H134" s="51" t="s">
        <v>127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2">
      <c r="A135" s="8"/>
      <c r="B135" s="8">
        <f t="shared" si="123"/>
        <v>26</v>
      </c>
      <c r="C135" s="8"/>
      <c r="D135" s="8">
        <f t="shared" si="124"/>
        <v>4160000</v>
      </c>
      <c r="E135" s="8"/>
      <c r="F135" s="8">
        <f>Q64</f>
        <v>4160332.950000003</v>
      </c>
      <c r="G135" s="8"/>
      <c r="H135" s="51" t="s">
        <v>130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2">
      <c r="A136" s="8"/>
      <c r="B136" s="8">
        <f t="shared" si="123"/>
        <v>27</v>
      </c>
      <c r="C136" s="8"/>
      <c r="D136" s="8">
        <f t="shared" si="124"/>
        <v>72438000</v>
      </c>
      <c r="E136" s="8"/>
      <c r="F136" s="8">
        <f>J116</f>
        <v>72438479.56820178</v>
      </c>
      <c r="G136" s="8"/>
      <c r="H136" s="51" t="s">
        <v>126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2">
      <c r="A137" s="8"/>
      <c r="B137" s="8">
        <f t="shared" si="123"/>
        <v>28</v>
      </c>
      <c r="C137" s="8"/>
      <c r="D137" s="8">
        <f t="shared" si="124"/>
        <v>13296000</v>
      </c>
      <c r="E137" s="8"/>
      <c r="F137" s="8">
        <f>W50</f>
        <v>13296439.83371973</v>
      </c>
      <c r="G137" s="8"/>
      <c r="H137" s="51" t="s">
        <v>126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2">
      <c r="A138" s="8"/>
      <c r="B138" s="8">
        <f t="shared" si="123"/>
        <v>29</v>
      </c>
      <c r="C138" s="8"/>
      <c r="D138" s="53">
        <f>ROUND(F138,4)</f>
        <v>0.1192</v>
      </c>
      <c r="E138" s="8"/>
      <c r="F138" s="25">
        <f>J119</f>
        <v>0.11919058546820738</v>
      </c>
      <c r="G138" s="8"/>
      <c r="H138" s="51" t="s">
        <v>131</v>
      </c>
      <c r="I138" s="54" t="s">
        <v>132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2">
      <c r="A139" s="8"/>
      <c r="B139" s="8">
        <f t="shared" si="123"/>
        <v>30</v>
      </c>
      <c r="C139" s="8"/>
      <c r="D139" s="21">
        <v>8.6300000000000002E-2</v>
      </c>
      <c r="E139" s="8"/>
      <c r="F139" s="52">
        <f>Assumptions!J16</f>
        <v>0.08</v>
      </c>
      <c r="G139" s="8"/>
      <c r="H139" s="51" t="s">
        <v>131</v>
      </c>
      <c r="I139" s="39">
        <f>(13%-J119)*10000</f>
        <v>108.09414531792628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2">
      <c r="A146" s="15"/>
      <c r="B146" s="15"/>
      <c r="C146" s="15" t="s">
        <v>2</v>
      </c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Matt Persico</cp:lastModifiedBy>
  <dcterms:created xsi:type="dcterms:W3CDTF">2015-10-14T05:12:28Z</dcterms:created>
  <dcterms:modified xsi:type="dcterms:W3CDTF">2015-11-20T16:40:14Z</dcterms:modified>
</cp:coreProperties>
</file>