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416"/>
  <workbookPr filterPrivacy="1" autoCompressPictures="0"/>
  <bookViews>
    <workbookView xWindow="960" yWindow="40" windowWidth="20840" windowHeight="13360" tabRatio="775"/>
  </bookViews>
  <sheets>
    <sheet name="Case Study 3 - Intro" sheetId="16" r:id="rId1"/>
    <sheet name="Assumptions" sheetId="1" r:id="rId2"/>
    <sheet name="Calcs" sheetId="4" r:id="rId3"/>
    <sheet name="Debt" sheetId="12" r:id="rId4"/>
    <sheet name="IncState" sheetId="5" r:id="rId5"/>
    <sheet name="BalSheet" sheetId="6" r:id="rId6"/>
    <sheet name="CashFlow" sheetId="7" r:id="rId7"/>
  </sheets>
  <externalReferences>
    <externalReference r:id="rId8"/>
    <externalReference r:id="rId9"/>
  </externalReferences>
  <definedNames>
    <definedName name="circ" localSheetId="0">#REF!</definedName>
    <definedName name="circ">#REF!</definedName>
    <definedName name="circswitch" localSheetId="0">#REF!</definedName>
    <definedName name="circswitch">#REF!</definedName>
    <definedName name="CoName">[1]Cover!$C$10</definedName>
    <definedName name="Name_Company">#REF!</definedName>
    <definedName name="Name_Databook">[2]Setup!$F$12</definedName>
    <definedName name="_xlnm.Print_Area" localSheetId="1">Assumptions!$A$3:$I$46</definedName>
    <definedName name="_xlnm.Print_Area" localSheetId="5">BalSheet!$A$3:$I$230</definedName>
    <definedName name="_xlnm.Print_Area" localSheetId="2">Calcs!$A$3:$I$211</definedName>
    <definedName name="_xlnm.Print_Area" localSheetId="6">CashFlow!$A$3:$I$232</definedName>
    <definedName name="_xlnm.Print_Area" localSheetId="3">Debt!$A$3:$I$241</definedName>
    <definedName name="_xlnm.Print_Area" localSheetId="4">IncState!$A$3:$I$242</definedName>
    <definedName name="_xlnm.Print_Titles" localSheetId="1">Assumptions!$1:$2</definedName>
    <definedName name="_xlnm.Print_Titles" localSheetId="5">BalSheet!$1:$2</definedName>
    <definedName name="_xlnm.Print_Titles" localSheetId="2">Calcs!$1:$2</definedName>
    <definedName name="_xlnm.Print_Titles" localSheetId="6">CashFlow!$1:$2</definedName>
    <definedName name="_xlnm.Print_Titles" localSheetId="3">Debt!$1:$2</definedName>
    <definedName name="_xlnm.Print_Titles" localSheetId="4">IncState!$1:$2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5" l="1"/>
  <c r="E33" i="5"/>
  <c r="E4" i="5"/>
  <c r="F4" i="5"/>
  <c r="G4" i="5"/>
  <c r="H4" i="5"/>
  <c r="I4" i="5"/>
  <c r="D24" i="7"/>
  <c r="C21" i="6"/>
  <c r="C23" i="6"/>
  <c r="C15" i="6"/>
  <c r="C18" i="6"/>
  <c r="C19" i="6"/>
  <c r="C24" i="6"/>
  <c r="C28" i="6"/>
  <c r="E19" i="5"/>
  <c r="E27" i="5"/>
  <c r="F19" i="5"/>
  <c r="F27" i="5"/>
  <c r="G19" i="5"/>
  <c r="G27" i="5"/>
  <c r="H19" i="5"/>
  <c r="H27" i="5"/>
  <c r="I19" i="5"/>
  <c r="I27" i="5"/>
  <c r="D27" i="5"/>
  <c r="C19" i="5"/>
  <c r="C27" i="5"/>
  <c r="E44" i="12"/>
  <c r="E45" i="12"/>
  <c r="E24" i="12"/>
  <c r="E25" i="12"/>
  <c r="E34" i="12"/>
  <c r="E35" i="12"/>
  <c r="E8" i="12"/>
  <c r="F6" i="7"/>
  <c r="G6" i="7"/>
  <c r="H6" i="7"/>
  <c r="I6" i="7"/>
  <c r="E6" i="7"/>
  <c r="D7" i="4"/>
  <c r="E4" i="4"/>
  <c r="E6" i="4"/>
  <c r="E5" i="7"/>
  <c r="C7" i="5"/>
  <c r="C11" i="5"/>
  <c r="C12" i="5"/>
  <c r="C13" i="5"/>
  <c r="C22" i="5"/>
  <c r="E15" i="5"/>
  <c r="E16" i="5"/>
  <c r="E12" i="5"/>
  <c r="D12" i="5"/>
  <c r="D7" i="5"/>
  <c r="D11" i="5"/>
  <c r="D13" i="5"/>
  <c r="E22" i="7"/>
  <c r="F70" i="12"/>
  <c r="G70" i="12"/>
  <c r="H70" i="12"/>
  <c r="I70" i="12"/>
  <c r="D69" i="12"/>
  <c r="E70" i="12"/>
  <c r="F48" i="12"/>
  <c r="G48" i="12"/>
  <c r="H48" i="12"/>
  <c r="I48" i="12"/>
  <c r="E48" i="12"/>
  <c r="F38" i="12"/>
  <c r="G38" i="12"/>
  <c r="H38" i="12"/>
  <c r="I38" i="12"/>
  <c r="E38" i="12"/>
  <c r="F28" i="12"/>
  <c r="G28" i="12"/>
  <c r="H28" i="12"/>
  <c r="I28" i="12"/>
  <c r="E28" i="12"/>
  <c r="F16" i="12"/>
  <c r="G16" i="12"/>
  <c r="H16" i="12"/>
  <c r="I16" i="12"/>
  <c r="E16" i="12"/>
  <c r="D56" i="12"/>
  <c r="D55" i="12"/>
  <c r="D54" i="12"/>
  <c r="D15" i="12"/>
  <c r="D53" i="12"/>
  <c r="E5" i="12"/>
  <c r="D25" i="4"/>
  <c r="D24" i="4"/>
  <c r="B25" i="4"/>
  <c r="B26" i="4"/>
  <c r="B24" i="4"/>
  <c r="D20" i="4"/>
  <c r="D19" i="4"/>
  <c r="B20" i="4"/>
  <c r="B21" i="4"/>
  <c r="B19" i="4"/>
  <c r="F14" i="4"/>
  <c r="G14" i="4"/>
  <c r="H14" i="4"/>
  <c r="I14" i="4"/>
  <c r="E14" i="4"/>
  <c r="D15" i="4"/>
  <c r="E11" i="4"/>
  <c r="E11" i="6"/>
  <c r="E10" i="6"/>
  <c r="F10" i="6"/>
  <c r="G10" i="6"/>
  <c r="H10" i="6"/>
  <c r="F31" i="5"/>
  <c r="G31" i="5"/>
  <c r="H31" i="5"/>
  <c r="I31" i="5"/>
  <c r="E31" i="5"/>
  <c r="C33" i="5"/>
  <c r="F16" i="5"/>
  <c r="G16" i="5"/>
  <c r="H16" i="5"/>
  <c r="I16" i="5"/>
  <c r="E6" i="5"/>
  <c r="F6" i="5"/>
  <c r="G6" i="5"/>
  <c r="H6" i="5"/>
  <c r="I6" i="5"/>
  <c r="E5" i="5"/>
  <c r="F5" i="5"/>
  <c r="G5" i="5"/>
  <c r="H5" i="5"/>
  <c r="I5" i="5"/>
  <c r="E3" i="5"/>
  <c r="F3" i="5"/>
  <c r="C29" i="1"/>
  <c r="D21" i="6"/>
  <c r="D11" i="1"/>
  <c r="D23" i="6"/>
  <c r="E23" i="6"/>
  <c r="D6" i="6"/>
  <c r="D7" i="6"/>
  <c r="D13" i="6"/>
  <c r="D18" i="6"/>
  <c r="D26" i="4"/>
  <c r="D29" i="1"/>
  <c r="D12" i="1"/>
  <c r="D14" i="1"/>
  <c r="C12" i="1"/>
  <c r="C14" i="1"/>
  <c r="C6" i="6"/>
  <c r="C7" i="6"/>
  <c r="C13" i="6"/>
  <c r="D37" i="1"/>
  <c r="D28" i="1"/>
  <c r="D32" i="1"/>
  <c r="D23" i="1"/>
  <c r="C23" i="1"/>
  <c r="D24" i="1"/>
  <c r="D8" i="1"/>
  <c r="D7" i="1"/>
  <c r="D6" i="1"/>
  <c r="D5" i="1"/>
  <c r="D33" i="1"/>
  <c r="C13" i="1"/>
  <c r="D13" i="1"/>
  <c r="C19" i="1"/>
  <c r="D19" i="1"/>
  <c r="C15" i="1"/>
  <c r="D15" i="1"/>
  <c r="D10" i="1"/>
  <c r="D36" i="1"/>
  <c r="D34" i="1"/>
  <c r="C36" i="1"/>
  <c r="D27" i="1"/>
  <c r="C25" i="1"/>
  <c r="C32" i="1"/>
  <c r="D18" i="1"/>
  <c r="C25" i="5"/>
  <c r="C28" i="5"/>
  <c r="C32" i="5"/>
  <c r="C24" i="1"/>
  <c r="D25" i="1"/>
  <c r="D22" i="5"/>
  <c r="D57" i="12"/>
  <c r="E13" i="12"/>
  <c r="D27" i="4"/>
  <c r="G3" i="5"/>
  <c r="H3" i="5"/>
  <c r="I3" i="5"/>
  <c r="F7" i="5"/>
  <c r="F23" i="6"/>
  <c r="C17" i="5"/>
  <c r="F11" i="6"/>
  <c r="D21" i="4"/>
  <c r="D22" i="4"/>
  <c r="D29" i="4"/>
  <c r="D19" i="6"/>
  <c r="D24" i="6"/>
  <c r="D28" i="6"/>
  <c r="E7" i="5"/>
  <c r="I10" i="6"/>
  <c r="C34" i="1"/>
  <c r="C27" i="1"/>
  <c r="C10" i="1"/>
  <c r="D17" i="5"/>
  <c r="C30" i="6"/>
  <c r="H7" i="5"/>
  <c r="G7" i="5"/>
  <c r="G23" i="6"/>
  <c r="F9" i="5"/>
  <c r="F10" i="5"/>
  <c r="F11" i="5"/>
  <c r="F4" i="6"/>
  <c r="F19" i="4"/>
  <c r="F6" i="6"/>
  <c r="F21" i="4"/>
  <c r="F12" i="6"/>
  <c r="F18" i="6"/>
  <c r="F26" i="4"/>
  <c r="F22" i="6"/>
  <c r="F5" i="4"/>
  <c r="F12" i="7"/>
  <c r="E18" i="6"/>
  <c r="E26" i="4"/>
  <c r="E12" i="6"/>
  <c r="E6" i="6"/>
  <c r="E21" i="4"/>
  <c r="E4" i="6"/>
  <c r="E19" i="4"/>
  <c r="E10" i="5"/>
  <c r="E22" i="6"/>
  <c r="E9" i="7"/>
  <c r="E5" i="4"/>
  <c r="E12" i="7"/>
  <c r="E11" i="5"/>
  <c r="E9" i="5"/>
  <c r="E13" i="5"/>
  <c r="G11" i="6"/>
  <c r="D25" i="5"/>
  <c r="D28" i="5"/>
  <c r="D32" i="5"/>
  <c r="D16" i="1"/>
  <c r="C16" i="1"/>
  <c r="D30" i="6"/>
  <c r="I7" i="5"/>
  <c r="F8" i="7"/>
  <c r="E8" i="7"/>
  <c r="F9" i="7"/>
  <c r="G4" i="6"/>
  <c r="G19" i="4"/>
  <c r="H11" i="5"/>
  <c r="H22" i="6"/>
  <c r="H4" i="6"/>
  <c r="H19" i="4"/>
  <c r="G5" i="4"/>
  <c r="G12" i="7"/>
  <c r="G9" i="5"/>
  <c r="G5" i="6"/>
  <c r="G20" i="4"/>
  <c r="H5" i="4"/>
  <c r="H12" i="7"/>
  <c r="H6" i="6"/>
  <c r="H21" i="4"/>
  <c r="H9" i="5"/>
  <c r="H16" i="6"/>
  <c r="H12" i="6"/>
  <c r="H10" i="5"/>
  <c r="G10" i="5"/>
  <c r="G6" i="6"/>
  <c r="G21" i="4"/>
  <c r="H18" i="6"/>
  <c r="H26" i="4"/>
  <c r="G11" i="5"/>
  <c r="G18" i="6"/>
  <c r="G26" i="4"/>
  <c r="G22" i="6"/>
  <c r="G9" i="7"/>
  <c r="G12" i="6"/>
  <c r="H8" i="7"/>
  <c r="E13" i="7"/>
  <c r="E16" i="6"/>
  <c r="E5" i="6"/>
  <c r="E20" i="4"/>
  <c r="E22" i="4"/>
  <c r="E7" i="4"/>
  <c r="I4" i="6"/>
  <c r="I19" i="4"/>
  <c r="I6" i="6"/>
  <c r="I21" i="4"/>
  <c r="I12" i="6"/>
  <c r="I18" i="6"/>
  <c r="I26" i="4"/>
  <c r="I22" i="6"/>
  <c r="I9" i="7"/>
  <c r="I5" i="4"/>
  <c r="I12" i="7"/>
  <c r="I9" i="5"/>
  <c r="I10" i="5"/>
  <c r="I11" i="5"/>
  <c r="H11" i="6"/>
  <c r="H5" i="6"/>
  <c r="H20" i="4"/>
  <c r="F5" i="6"/>
  <c r="F20" i="4"/>
  <c r="F22" i="4"/>
  <c r="F16" i="6"/>
  <c r="H23" i="6"/>
  <c r="E17" i="5"/>
  <c r="I8" i="7"/>
  <c r="H9" i="7"/>
  <c r="G8" i="7"/>
  <c r="G22" i="4"/>
  <c r="G16" i="6"/>
  <c r="G24" i="4"/>
  <c r="H22" i="4"/>
  <c r="E24" i="4"/>
  <c r="F24" i="4"/>
  <c r="H24" i="4"/>
  <c r="I11" i="6"/>
  <c r="I5" i="6"/>
  <c r="I20" i="4"/>
  <c r="I22" i="4"/>
  <c r="I16" i="6"/>
  <c r="I23" i="6"/>
  <c r="F4" i="4"/>
  <c r="E9" i="6"/>
  <c r="I24" i="4"/>
  <c r="F6" i="4"/>
  <c r="F13" i="7"/>
  <c r="F5" i="7"/>
  <c r="F15" i="5"/>
  <c r="F7" i="4"/>
  <c r="F12" i="5"/>
  <c r="F13" i="5"/>
  <c r="F17" i="5"/>
  <c r="G4" i="4"/>
  <c r="F9" i="6"/>
  <c r="G6" i="4"/>
  <c r="G13" i="7"/>
  <c r="G5" i="7"/>
  <c r="G15" i="5"/>
  <c r="G7" i="4"/>
  <c r="G12" i="5"/>
  <c r="G13" i="5"/>
  <c r="G17" i="5"/>
  <c r="H4" i="4"/>
  <c r="G9" i="6"/>
  <c r="H6" i="4"/>
  <c r="H13" i="7"/>
  <c r="H5" i="7"/>
  <c r="H7" i="4"/>
  <c r="H15" i="5"/>
  <c r="H12" i="5"/>
  <c r="H13" i="5"/>
  <c r="H17" i="5"/>
  <c r="H9" i="6"/>
  <c r="I4" i="4"/>
  <c r="I6" i="4"/>
  <c r="I13" i="7"/>
  <c r="I5" i="7"/>
  <c r="I15" i="5"/>
  <c r="I7" i="4"/>
  <c r="I12" i="5"/>
  <c r="I13" i="5"/>
  <c r="I17" i="5"/>
  <c r="I9" i="6"/>
  <c r="G22" i="5"/>
  <c r="G24" i="5"/>
  <c r="G25" i="5"/>
  <c r="I22" i="5"/>
  <c r="H22" i="5"/>
  <c r="F22" i="5"/>
  <c r="F24" i="5"/>
  <c r="G12" i="4"/>
  <c r="G28" i="5"/>
  <c r="G32" i="5"/>
  <c r="G4" i="7"/>
  <c r="F25" i="5"/>
  <c r="F17" i="6"/>
  <c r="F25" i="4"/>
  <c r="F27" i="4"/>
  <c r="F29" i="4"/>
  <c r="I24" i="5"/>
  <c r="I17" i="6"/>
  <c r="I25" i="4"/>
  <c r="I27" i="4"/>
  <c r="I29" i="4"/>
  <c r="G17" i="6"/>
  <c r="G25" i="4"/>
  <c r="G27" i="4"/>
  <c r="G29" i="4"/>
  <c r="H24" i="5"/>
  <c r="H17" i="6"/>
  <c r="H25" i="4"/>
  <c r="H27" i="4"/>
  <c r="H29" i="4"/>
  <c r="I7" i="7"/>
  <c r="H7" i="7"/>
  <c r="H25" i="5"/>
  <c r="H12" i="4"/>
  <c r="H28" i="5"/>
  <c r="H32" i="5"/>
  <c r="H4" i="7"/>
  <c r="G7" i="7"/>
  <c r="G10" i="7"/>
  <c r="I25" i="5"/>
  <c r="F28" i="5"/>
  <c r="F32" i="5"/>
  <c r="F12" i="4"/>
  <c r="F4" i="7"/>
  <c r="H10" i="7"/>
  <c r="I28" i="5"/>
  <c r="I32" i="5"/>
  <c r="I12" i="4"/>
  <c r="I4" i="7"/>
  <c r="I10" i="7"/>
  <c r="F33" i="5"/>
  <c r="F30" i="5"/>
  <c r="E30" i="5"/>
  <c r="E13" i="4"/>
  <c r="E15" i="7"/>
  <c r="F13" i="4"/>
  <c r="F15" i="7"/>
  <c r="G33" i="5"/>
  <c r="H33" i="5"/>
  <c r="G30" i="5"/>
  <c r="H30" i="5"/>
  <c r="I33" i="5"/>
  <c r="I30" i="5"/>
  <c r="G13" i="4"/>
  <c r="G15" i="7"/>
  <c r="H13" i="4"/>
  <c r="H15" i="7"/>
  <c r="G26" i="7"/>
  <c r="G6" i="12"/>
  <c r="I13" i="4"/>
  <c r="I15" i="7"/>
  <c r="I26" i="7"/>
  <c r="I6" i="12"/>
  <c r="H26" i="7"/>
  <c r="H6" i="12"/>
  <c r="E22" i="5"/>
  <c r="E24" i="5"/>
  <c r="E17" i="6"/>
  <c r="E25" i="4"/>
  <c r="E27" i="4"/>
  <c r="E29" i="4"/>
  <c r="E7" i="7"/>
  <c r="F7" i="7"/>
  <c r="F10" i="7"/>
  <c r="E25" i="5"/>
  <c r="E28" i="5"/>
  <c r="E32" i="5"/>
  <c r="E12" i="4"/>
  <c r="E15" i="4"/>
  <c r="E4" i="7"/>
  <c r="E10" i="7"/>
  <c r="F26" i="7"/>
  <c r="F6" i="12"/>
  <c r="E26" i="7"/>
  <c r="E6" i="12"/>
  <c r="E7" i="12"/>
  <c r="E9" i="12"/>
  <c r="E26" i="6"/>
  <c r="F11" i="4"/>
  <c r="F15" i="4"/>
  <c r="E14" i="12"/>
  <c r="E15" i="12"/>
  <c r="F26" i="6"/>
  <c r="G11" i="4"/>
  <c r="G15" i="4"/>
  <c r="G26" i="6"/>
  <c r="H11" i="4"/>
  <c r="H15" i="4"/>
  <c r="E53" i="12"/>
  <c r="F13" i="12"/>
  <c r="E17" i="12"/>
  <c r="E61" i="12"/>
  <c r="E19" i="12"/>
  <c r="E26" i="12"/>
  <c r="E27" i="12"/>
  <c r="E15" i="6"/>
  <c r="H26" i="6"/>
  <c r="I11" i="4"/>
  <c r="I15" i="4"/>
  <c r="I26" i="6"/>
  <c r="E19" i="6"/>
  <c r="E16" i="7"/>
  <c r="E54" i="12"/>
  <c r="F24" i="12"/>
  <c r="E29" i="12"/>
  <c r="E62" i="12"/>
  <c r="E31" i="12"/>
  <c r="E36" i="12"/>
  <c r="E37" i="12"/>
  <c r="F25" i="12"/>
  <c r="E41" i="12"/>
  <c r="E46" i="12"/>
  <c r="E47" i="12"/>
  <c r="E56" i="12"/>
  <c r="E39" i="12"/>
  <c r="E63" i="12"/>
  <c r="E55" i="12"/>
  <c r="F34" i="12"/>
  <c r="E49" i="12"/>
  <c r="E64" i="12"/>
  <c r="E65" i="12"/>
  <c r="F44" i="12"/>
  <c r="F35" i="12"/>
  <c r="E21" i="6"/>
  <c r="E57" i="12"/>
  <c r="F45" i="12"/>
  <c r="E17" i="7"/>
  <c r="E18" i="7"/>
  <c r="E20" i="7"/>
  <c r="E23" i="7"/>
  <c r="E24" i="7"/>
  <c r="E24" i="6"/>
  <c r="E28" i="6"/>
  <c r="F8" i="12"/>
  <c r="E3" i="6"/>
  <c r="F22" i="7"/>
  <c r="E69" i="12"/>
  <c r="F5" i="12"/>
  <c r="F7" i="12"/>
  <c r="F9" i="12"/>
  <c r="E7" i="6"/>
  <c r="E13" i="6"/>
  <c r="E30" i="6"/>
  <c r="E71" i="12"/>
  <c r="F14" i="12"/>
  <c r="F15" i="12"/>
  <c r="F19" i="12"/>
  <c r="F26" i="12"/>
  <c r="F27" i="12"/>
  <c r="F53" i="12"/>
  <c r="G13" i="12"/>
  <c r="F17" i="12"/>
  <c r="F61" i="12"/>
  <c r="F31" i="12"/>
  <c r="F15" i="6"/>
  <c r="F54" i="12"/>
  <c r="G24" i="12"/>
  <c r="F29" i="12"/>
  <c r="F62" i="12"/>
  <c r="F36" i="12"/>
  <c r="F37" i="12"/>
  <c r="G34" i="12"/>
  <c r="F19" i="6"/>
  <c r="F16" i="7"/>
  <c r="G25" i="12"/>
  <c r="F55" i="12"/>
  <c r="F39" i="12"/>
  <c r="F63" i="12"/>
  <c r="F41" i="12"/>
  <c r="F46" i="12"/>
  <c r="F47" i="12"/>
  <c r="G35" i="12"/>
  <c r="G44" i="12"/>
  <c r="G45" i="12"/>
  <c r="G8" i="12"/>
  <c r="F56" i="12"/>
  <c r="F49" i="12"/>
  <c r="F64" i="12"/>
  <c r="F65" i="12"/>
  <c r="F57" i="12"/>
  <c r="F21" i="6"/>
  <c r="F24" i="6"/>
  <c r="F28" i="6"/>
  <c r="F17" i="7"/>
  <c r="F18" i="7"/>
  <c r="F20" i="7"/>
  <c r="F23" i="7"/>
  <c r="F24" i="7"/>
  <c r="G22" i="7"/>
  <c r="F3" i="6"/>
  <c r="F7" i="6"/>
  <c r="F13" i="6"/>
  <c r="F30" i="6"/>
  <c r="F69" i="12"/>
  <c r="F71" i="12"/>
  <c r="G5" i="12"/>
  <c r="G7" i="12"/>
  <c r="G9" i="12"/>
  <c r="G14" i="12"/>
  <c r="G15" i="12"/>
  <c r="G53" i="12"/>
  <c r="G15" i="6"/>
  <c r="G19" i="6"/>
  <c r="G17" i="12"/>
  <c r="G61" i="12"/>
  <c r="H13" i="12"/>
  <c r="G19" i="12"/>
  <c r="G16" i="7"/>
  <c r="G26" i="12"/>
  <c r="G27" i="12"/>
  <c r="G31" i="12"/>
  <c r="G36" i="12"/>
  <c r="G37" i="12"/>
  <c r="H24" i="12"/>
  <c r="H25" i="12"/>
  <c r="G54" i="12"/>
  <c r="G29" i="12"/>
  <c r="G62" i="12"/>
  <c r="H34" i="12"/>
  <c r="H35" i="12"/>
  <c r="G55" i="12"/>
  <c r="G39" i="12"/>
  <c r="G63" i="12"/>
  <c r="G41" i="12"/>
  <c r="G46" i="12"/>
  <c r="G47" i="12"/>
  <c r="G56" i="12"/>
  <c r="G57" i="12"/>
  <c r="G49" i="12"/>
  <c r="G64" i="12"/>
  <c r="G65" i="12"/>
  <c r="H44" i="12"/>
  <c r="H45" i="12"/>
  <c r="H8" i="12"/>
  <c r="G21" i="6"/>
  <c r="G24" i="6"/>
  <c r="G28" i="6"/>
  <c r="G17" i="7"/>
  <c r="G18" i="7"/>
  <c r="G20" i="7"/>
  <c r="G23" i="7"/>
  <c r="G24" i="7"/>
  <c r="H22" i="7"/>
  <c r="G3" i="6"/>
  <c r="G7" i="6"/>
  <c r="G13" i="6"/>
  <c r="G30" i="6"/>
  <c r="H5" i="12"/>
  <c r="H7" i="12"/>
  <c r="H9" i="12"/>
  <c r="G69" i="12"/>
  <c r="G71" i="12"/>
  <c r="H14" i="12"/>
  <c r="H15" i="12"/>
  <c r="H53" i="12"/>
  <c r="I13" i="12"/>
  <c r="H17" i="12"/>
  <c r="H61" i="12"/>
  <c r="H19" i="12"/>
  <c r="H15" i="6"/>
  <c r="H26" i="12"/>
  <c r="H27" i="12"/>
  <c r="I24" i="12"/>
  <c r="I25" i="12"/>
  <c r="H54" i="12"/>
  <c r="H29" i="12"/>
  <c r="H62" i="12"/>
  <c r="H16" i="7"/>
  <c r="H19" i="6"/>
  <c r="H31" i="12"/>
  <c r="H36" i="12"/>
  <c r="H37" i="12"/>
  <c r="H41" i="12"/>
  <c r="H46" i="12"/>
  <c r="H47" i="12"/>
  <c r="H56" i="12"/>
  <c r="H55" i="12"/>
  <c r="H39" i="12"/>
  <c r="H63" i="12"/>
  <c r="I34" i="12"/>
  <c r="I35" i="12"/>
  <c r="I44" i="12"/>
  <c r="I45" i="12"/>
  <c r="I8" i="12"/>
  <c r="H49" i="12"/>
  <c r="H64" i="12"/>
  <c r="H65" i="12"/>
  <c r="H21" i="6"/>
  <c r="H57" i="12"/>
  <c r="H24" i="6"/>
  <c r="H28" i="6"/>
  <c r="H17" i="7"/>
  <c r="H18" i="7"/>
  <c r="H20" i="7"/>
  <c r="H23" i="7"/>
  <c r="H24" i="7"/>
  <c r="H3" i="6"/>
  <c r="I22" i="7"/>
  <c r="H7" i="6"/>
  <c r="H13" i="6"/>
  <c r="H30" i="6"/>
  <c r="H69" i="12"/>
  <c r="H71" i="12"/>
  <c r="I5" i="12"/>
  <c r="I7" i="12"/>
  <c r="I9" i="12"/>
  <c r="I14" i="12"/>
  <c r="I15" i="12"/>
  <c r="I17" i="12"/>
  <c r="I61" i="12"/>
  <c r="I53" i="12"/>
  <c r="I19" i="12"/>
  <c r="I26" i="12"/>
  <c r="I27" i="12"/>
  <c r="I15" i="6"/>
  <c r="I19" i="6"/>
  <c r="I16" i="7"/>
  <c r="I54" i="12"/>
  <c r="I29" i="12"/>
  <c r="I62" i="12"/>
  <c r="I31" i="12"/>
  <c r="I36" i="12"/>
  <c r="I37" i="12"/>
  <c r="I55" i="12"/>
  <c r="I39" i="12"/>
  <c r="I63" i="12"/>
  <c r="I41" i="12"/>
  <c r="I46" i="12"/>
  <c r="I47" i="12"/>
  <c r="I56" i="12"/>
  <c r="I21" i="6"/>
  <c r="I49" i="12"/>
  <c r="I64" i="12"/>
  <c r="I65" i="12"/>
  <c r="I57" i="12"/>
  <c r="I17" i="7"/>
  <c r="I18" i="7"/>
  <c r="I20" i="7"/>
  <c r="I23" i="7"/>
  <c r="I24" i="7"/>
  <c r="I3" i="6"/>
  <c r="I24" i="6"/>
  <c r="I28" i="6"/>
  <c r="I69" i="12"/>
  <c r="I71" i="12"/>
  <c r="I7" i="6"/>
  <c r="I13" i="6"/>
  <c r="I30" i="6"/>
</calcChain>
</file>

<file path=xl/sharedStrings.xml><?xml version="1.0" encoding="utf-8"?>
<sst xmlns="http://schemas.openxmlformats.org/spreadsheetml/2006/main" count="383" uniqueCount="180">
  <si>
    <t>Hist</t>
  </si>
  <si>
    <t>Proj</t>
  </si>
  <si>
    <t>Cost of goods sold</t>
  </si>
  <si>
    <t>Research and development costs</t>
  </si>
  <si>
    <t>SG&amp;A</t>
  </si>
  <si>
    <t xml:space="preserve"> Earnings after tax</t>
  </si>
  <si>
    <t>Balance sheet</t>
  </si>
  <si>
    <t>Receivables</t>
  </si>
  <si>
    <t>Inventories</t>
  </si>
  <si>
    <t/>
  </si>
  <si>
    <t xml:space="preserve"> Total current assets</t>
  </si>
  <si>
    <t xml:space="preserve"> Total assets</t>
  </si>
  <si>
    <t>Accounts payable</t>
  </si>
  <si>
    <t xml:space="preserve"> Total current liabilities</t>
  </si>
  <si>
    <t>Long-term debt</t>
  </si>
  <si>
    <t xml:space="preserve"> Total liabilities</t>
  </si>
  <si>
    <t xml:space="preserve"> Total liabilities and equity</t>
  </si>
  <si>
    <t>R&amp;D costs % of total sales</t>
  </si>
  <si>
    <t>Effective tax rate</t>
  </si>
  <si>
    <t>Depreciation % of last year's net PP&amp;E</t>
  </si>
  <si>
    <t>Depreciation</t>
  </si>
  <si>
    <t>Amortization</t>
  </si>
  <si>
    <t xml:space="preserve"> Total sales</t>
  </si>
  <si>
    <t>Cash flow statement</t>
  </si>
  <si>
    <t>Capital expenditure</t>
  </si>
  <si>
    <t>Income statement assumptions</t>
  </si>
  <si>
    <t>Dividends</t>
  </si>
  <si>
    <t>Dividends per share</t>
  </si>
  <si>
    <t>Net PP&amp;E</t>
  </si>
  <si>
    <t>Beginning balance</t>
  </si>
  <si>
    <t>Ending balance</t>
  </si>
  <si>
    <t>Interest rate</t>
  </si>
  <si>
    <t xml:space="preserve"> Check ?</t>
  </si>
  <si>
    <t>Revolver</t>
  </si>
  <si>
    <t>Interest rate on revolver</t>
  </si>
  <si>
    <t>Inputs</t>
  </si>
  <si>
    <t>Calculations</t>
  </si>
  <si>
    <t>Income statement</t>
  </si>
  <si>
    <t xml:space="preserve">Dividend per share growth rate </t>
  </si>
  <si>
    <t>Asset assumptions</t>
  </si>
  <si>
    <t>Other long-term liabilities $ change</t>
  </si>
  <si>
    <t>Liability assumptions</t>
  </si>
  <si>
    <t>Equity assumptions</t>
  </si>
  <si>
    <t>Expense assumptions</t>
  </si>
  <si>
    <t>Debt summary</t>
  </si>
  <si>
    <t>Total debt</t>
  </si>
  <si>
    <t>Total interest expense</t>
  </si>
  <si>
    <t>Other current liabilities</t>
  </si>
  <si>
    <t>Sales assumptions</t>
  </si>
  <si>
    <t>Interest income</t>
  </si>
  <si>
    <t xml:space="preserve">    end</t>
  </si>
  <si>
    <t>Long-term liabilities</t>
  </si>
  <si>
    <t>Short-term liabilities</t>
  </si>
  <si>
    <t>Long-term assets</t>
  </si>
  <si>
    <t>Short-term assets</t>
  </si>
  <si>
    <t>Other current assets</t>
  </si>
  <si>
    <t>Postemployment liabilities</t>
  </si>
  <si>
    <t>Other long-term liabilities</t>
  </si>
  <si>
    <t>Interest expense</t>
  </si>
  <si>
    <t>Receivables % of total sales</t>
  </si>
  <si>
    <t>Capital expenditure % of total sales</t>
  </si>
  <si>
    <t>Other current liabilities % of total sales</t>
  </si>
  <si>
    <t>Postemploymt liab. % of total sales</t>
  </si>
  <si>
    <t>Amortization of identifiable intangibles $ amount</t>
  </si>
  <si>
    <t>Other current assets % of total sales</t>
  </si>
  <si>
    <t>Identifiable intangibles</t>
  </si>
  <si>
    <t xml:space="preserve">Other </t>
  </si>
  <si>
    <t>Office furniture</t>
  </si>
  <si>
    <t>Home furniture</t>
  </si>
  <si>
    <t>Outdoor furniture</t>
  </si>
  <si>
    <t>Office furniture growth %</t>
  </si>
  <si>
    <t>Home furniture growth %</t>
  </si>
  <si>
    <t>Outdoor furniture growth %</t>
  </si>
  <si>
    <t>Other growth %</t>
  </si>
  <si>
    <t xml:space="preserve"> EBIT</t>
  </si>
  <si>
    <t xml:space="preserve"> EBITDA</t>
  </si>
  <si>
    <t>Weighted average shares</t>
  </si>
  <si>
    <t>Cost of goods sold % total sales</t>
  </si>
  <si>
    <t>Weighted average shares million</t>
  </si>
  <si>
    <t>Financial assets</t>
  </si>
  <si>
    <t>Financial assets $ change</t>
  </si>
  <si>
    <t>Deferred income tax assets</t>
  </si>
  <si>
    <t>Accounts payable % of COGS</t>
  </si>
  <si>
    <t>Taxes payable</t>
  </si>
  <si>
    <t>Tax expense</t>
  </si>
  <si>
    <t>Taxes payable % of tax expense</t>
  </si>
  <si>
    <t>SG&amp;A % total sales</t>
  </si>
  <si>
    <t xml:space="preserve"> Earnings before taxes</t>
  </si>
  <si>
    <t>Inventories % of COGS</t>
  </si>
  <si>
    <t>Non-recurring expenses</t>
  </si>
  <si>
    <t>Share issuance / (repurchase)</t>
  </si>
  <si>
    <t>Shareholders' equity</t>
  </si>
  <si>
    <t>Year -1</t>
  </si>
  <si>
    <t>Year 0</t>
  </si>
  <si>
    <t>Year 1</t>
  </si>
  <si>
    <t>Year 2</t>
  </si>
  <si>
    <t>Year 3</t>
  </si>
  <si>
    <t>Year 4</t>
  </si>
  <si>
    <t>Year 5</t>
  </si>
  <si>
    <t>Cash flow available for debt repayment</t>
  </si>
  <si>
    <t>Cash</t>
  </si>
  <si>
    <t>Cash available for debt repayment</t>
  </si>
  <si>
    <t>Beginning cash</t>
  </si>
  <si>
    <t>Issuance / (repayment)</t>
  </si>
  <si>
    <t>Debt 1</t>
  </si>
  <si>
    <t>Debt 2</t>
  </si>
  <si>
    <t>Debt 3</t>
  </si>
  <si>
    <t>Cash available for debt 2 repayment</t>
  </si>
  <si>
    <t>Cash available for debt 1 repayment</t>
  </si>
  <si>
    <t>Cash available for debt 3 repayment</t>
  </si>
  <si>
    <t>Interest rate on cash</t>
  </si>
  <si>
    <t>Debt</t>
  </si>
  <si>
    <t>Interest rate on debt 1</t>
  </si>
  <si>
    <t>Interest rate on debt 2</t>
  </si>
  <si>
    <t>Interest rate on debt 3</t>
  </si>
  <si>
    <t>Deferred income tax assets % of total sales</t>
  </si>
  <si>
    <t>Post tax non-recurring items</t>
  </si>
  <si>
    <t>Non-recurring expenses / (income)</t>
  </si>
  <si>
    <t xml:space="preserve"> Recurring net income</t>
  </si>
  <si>
    <t>Marginal tax rate</t>
  </si>
  <si>
    <t>Recurring EPS</t>
  </si>
  <si>
    <t>Interest expense summary</t>
  </si>
  <si>
    <t>Equity</t>
  </si>
  <si>
    <t>Net Income</t>
  </si>
  <si>
    <t>Dividend</t>
  </si>
  <si>
    <t>Share issurance/(repurchase)</t>
  </si>
  <si>
    <t>Amortisation</t>
  </si>
  <si>
    <t>dec/(inc) in OWC</t>
  </si>
  <si>
    <t>OWC</t>
  </si>
  <si>
    <t>Non-cash current assets</t>
  </si>
  <si>
    <t>Non-cash current liabilities</t>
  </si>
  <si>
    <t>dec/(inc) in deferred income tax assets</t>
  </si>
  <si>
    <t>inc/(dec) in postemployment liabilities</t>
  </si>
  <si>
    <t>Cash flow from operating activities</t>
  </si>
  <si>
    <t>Capex</t>
  </si>
  <si>
    <t>Cash flow from financing activities</t>
  </si>
  <si>
    <t>Cash flow from investing activities</t>
  </si>
  <si>
    <t>Net Cash Flow</t>
  </si>
  <si>
    <t>Beginning Cash Balance</t>
  </si>
  <si>
    <t>Ending Cash Balance</t>
  </si>
  <si>
    <t>PP&amp;E</t>
  </si>
  <si>
    <t>Beginning Balance</t>
  </si>
  <si>
    <t>Ending Balance</t>
  </si>
  <si>
    <t>Mandated repayment of debt 1</t>
  </si>
  <si>
    <t>Mandated repayment of debt 2</t>
  </si>
  <si>
    <t>Mandated repayment of debt 3</t>
  </si>
  <si>
    <t>Actual mandated repayments</t>
  </si>
  <si>
    <t>Cash available for accelerated repayment</t>
  </si>
  <si>
    <t>Actual mandated repayment</t>
  </si>
  <si>
    <t>Accelerated repayment</t>
  </si>
  <si>
    <t>ok</t>
  </si>
  <si>
    <t>Depreciation and Amortization expense</t>
  </si>
  <si>
    <t>Year1 - 5 call on EBITDA not EBIT</t>
  </si>
  <si>
    <t>should subtract tax not add</t>
  </si>
  <si>
    <t>references row 25 not row 26</t>
  </si>
  <si>
    <t>references row 7 not row 6</t>
  </si>
  <si>
    <t>references row 14 not row 13</t>
  </si>
  <si>
    <t>references row 30 not row 29</t>
  </si>
  <si>
    <t>references row 13 not row 12</t>
  </si>
  <si>
    <t>references row 23 not row 22</t>
  </si>
  <si>
    <t>Issuance/(repayment) of revolver</t>
  </si>
  <si>
    <t>Issuance/(repayment) of long term debt</t>
  </si>
  <si>
    <t>spelling mistake on issuance</t>
  </si>
  <si>
    <t>Should be negative</t>
  </si>
  <si>
    <t>Should be net of repayment of revolver and long term debt</t>
  </si>
  <si>
    <t xml:space="preserve">ok but brings in wrong year </t>
  </si>
  <si>
    <t>adds assumptions not actuals</t>
  </si>
  <si>
    <t>refers to office furniture in row 5 instead of home furniture in row 6 of assumptions</t>
  </si>
  <si>
    <t>starts with assumptions of year 1 not year -1</t>
  </si>
  <si>
    <t>Year 0 references receivables not cash in B/S, should not subtract rollover</t>
  </si>
  <si>
    <t xml:space="preserve">The following sheets contain a number of errors. Identify and fix the errors to answer the questions in this section.  </t>
  </si>
  <si>
    <t>line needs to be included first before it can be added back.</t>
  </si>
  <si>
    <t>Comment</t>
  </si>
  <si>
    <t>needs MIN to ensure minimum of mandated payment and total outstanding</t>
  </si>
  <si>
    <t>need to be MIN of cash available and the total outstanding LESS the mandated payment already made</t>
  </si>
  <si>
    <t>adjust so 'total liabilities' includes current liabilities</t>
  </si>
  <si>
    <t>should reference ending cash balance not net cashflow figure</t>
  </si>
  <si>
    <t>adjust to remove current liabilities already added above</t>
  </si>
  <si>
    <t>references post employment liabilities instead of LTD, spelling mistake on issuance</t>
  </si>
  <si>
    <t>Case Study – Find That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</si>
</sst>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&quot;$&quot;#,##0.00_);[Red]\(&quot;$&quot;#,##0.00\)"/>
    <numFmt numFmtId="165" formatCode="#,##0.0_);\(#,##0.0\)"/>
    <numFmt numFmtId="166" formatCode="0.0%_);\(0.0\)%"/>
    <numFmt numFmtId="167" formatCode="0.0%;\(0.0%\)"/>
    <numFmt numFmtId="168" formatCode="0.0%"/>
    <numFmt numFmtId="169" formatCode="0.00%;\(0.00%\)"/>
    <numFmt numFmtId="170" formatCode="0.0%_);\(0.0%\)"/>
    <numFmt numFmtId="171" formatCode="#,##0.00_)\ \x;\(#,##0.00\)\ \x"/>
    <numFmt numFmtId="172" formatCode="#,##0.00_)\x;\(#,##0.00\)\x"/>
    <numFmt numFmtId="173" formatCode="#,##0.0&quot; x&quot;_);\(#,##0.0\)&quot; x&quot;"/>
    <numFmt numFmtId="174" formatCode="#,##0.0_);\(#,##0.0\);0.0_);@_)"/>
    <numFmt numFmtId="175" formatCode="#,###;\(#,###\);\-"/>
    <numFmt numFmtId="176" formatCode="0.00%;\(0.00%\);\-"/>
    <numFmt numFmtId="177" formatCode="0.#0\x;\(0.#0\x\);0\x"/>
  </numFmts>
  <fonts count="34" x14ac:knownFonts="1">
    <font>
      <sz val="10"/>
      <name val="Arial"/>
      <family val="2"/>
    </font>
    <font>
      <sz val="24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2"/>
      <color indexed="17"/>
      <name val="Wingdings"/>
      <charset val="2"/>
    </font>
    <font>
      <sz val="10"/>
      <color indexed="12"/>
      <name val="Arial"/>
      <family val="2"/>
    </font>
    <font>
      <sz val="9"/>
      <color theme="1"/>
      <name val="Arial"/>
      <family val="2"/>
    </font>
    <font>
      <i/>
      <sz val="9"/>
      <color rgb="FF000000"/>
      <name val="Arial"/>
      <family val="2"/>
    </font>
    <font>
      <b/>
      <sz val="9"/>
      <color theme="2"/>
      <name val="Arial"/>
      <family val="2"/>
    </font>
    <font>
      <b/>
      <sz val="9"/>
      <color rgb="FF00AEDB"/>
      <name val="Cambria"/>
      <family val="2"/>
      <scheme val="major"/>
    </font>
    <font>
      <b/>
      <sz val="7"/>
      <color theme="1"/>
      <name val="Arial"/>
      <family val="2"/>
    </font>
    <font>
      <b/>
      <sz val="9"/>
      <color rgb="FF000000"/>
      <name val="Cambria"/>
      <family val="2"/>
      <scheme val="major"/>
    </font>
    <font>
      <sz val="9"/>
      <color rgb="FF000000"/>
      <name val="Cambria"/>
      <family val="2"/>
      <scheme val="maj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DB924"/>
      <name val="Arial"/>
      <family val="2"/>
    </font>
    <font>
      <sz val="9"/>
      <color rgb="FF00B1B0"/>
      <name val="Arial"/>
      <family val="2"/>
    </font>
    <font>
      <sz val="9"/>
      <color rgb="FFCE4652"/>
      <name val="Arial"/>
      <family val="2"/>
    </font>
    <font>
      <b/>
      <sz val="10"/>
      <color theme="0"/>
      <name val="Arial"/>
      <family val="2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0"/>
      <name val="Arial"/>
      <family val="2"/>
    </font>
    <font>
      <b/>
      <sz val="1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AF5"/>
        <bgColor indexed="64"/>
      </patternFill>
    </fill>
    <fill>
      <patternFill patternType="solid">
        <fgColor rgb="FF4F639F"/>
        <bgColor indexed="64"/>
      </patternFill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auto="1"/>
      </left>
      <right style="thin">
        <color auto="1"/>
      </right>
      <top style="thick">
        <color theme="2"/>
      </top>
      <bottom style="medium">
        <color auto="1"/>
      </bottom>
      <diagonal/>
    </border>
    <border>
      <left/>
      <right style="thin">
        <color auto="1"/>
      </right>
      <top style="thick">
        <color theme="2"/>
      </top>
      <bottom style="medium">
        <color auto="1"/>
      </bottom>
      <diagonal/>
    </border>
    <border>
      <left style="thin">
        <color auto="1"/>
      </left>
      <right/>
      <top style="thick">
        <color theme="2"/>
      </top>
      <bottom style="medium">
        <color auto="1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theme="2"/>
      </top>
      <bottom style="medium">
        <color theme="2"/>
      </bottom>
      <diagonal/>
    </border>
  </borders>
  <cellStyleXfs count="43">
    <xf numFmtId="165" fontId="0" fillId="0" borderId="0" applyFill="0" applyBorder="0" applyAlignment="0" applyProtection="0"/>
    <xf numFmtId="165" fontId="5" fillId="0" borderId="0"/>
    <xf numFmtId="165" fontId="7" fillId="0" borderId="0"/>
    <xf numFmtId="165" fontId="10" fillId="0" borderId="0" applyNumberFormat="0" applyFill="0" applyBorder="0" applyAlignment="0" applyProtection="0"/>
    <xf numFmtId="167" fontId="7" fillId="0" borderId="0" applyNumberFormat="0" applyFont="0" applyAlignment="0"/>
    <xf numFmtId="15" fontId="10" fillId="0" borderId="0" applyNumberFormat="0" applyFill="0" applyBorder="0" applyAlignment="0" applyProtection="0">
      <protection locked="0"/>
    </xf>
    <xf numFmtId="15" fontId="11" fillId="0" borderId="0" applyFont="0" applyFill="0" applyBorder="0" applyAlignment="0" applyProtection="0"/>
    <xf numFmtId="15" fontId="11" fillId="0" borderId="0" applyFont="0" applyFill="0" applyBorder="0" applyAlignment="0" applyProtection="0">
      <protection locked="0"/>
    </xf>
    <xf numFmtId="169" fontId="8" fillId="2" borderId="1" applyNumberFormat="0" applyFont="0" applyAlignment="0"/>
    <xf numFmtId="166" fontId="6" fillId="0" borderId="1" applyNumberFormat="0" applyFill="0" applyAlignment="0" applyProtection="0"/>
    <xf numFmtId="165" fontId="12" fillId="0" borderId="0" applyNumberFormat="0" applyFont="0" applyFill="0" applyBorder="0" applyAlignment="0">
      <protection hidden="1"/>
    </xf>
    <xf numFmtId="173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6" fontId="1" fillId="0" borderId="0" applyFont="0" applyFill="0" applyBorder="0" applyAlignment="0" applyProtection="0"/>
    <xf numFmtId="171" fontId="11" fillId="0" borderId="0"/>
    <xf numFmtId="37" fontId="6" fillId="0" borderId="2" applyNumberFormat="0" applyFont="0" applyFill="0" applyAlignment="0"/>
    <xf numFmtId="165" fontId="5" fillId="0" borderId="0" applyFill="0" applyBorder="0" applyAlignment="0" applyProtection="0"/>
    <xf numFmtId="174" fontId="5" fillId="0" borderId="0"/>
    <xf numFmtId="15" fontId="6" fillId="0" borderId="0" applyNumberFormat="0" applyFill="0" applyBorder="0" applyAlignment="0" applyProtection="0">
      <protection locked="0"/>
    </xf>
    <xf numFmtId="165" fontId="5" fillId="0" borderId="1" applyNumberFormat="0" applyFont="0" applyFill="0" applyBorder="0" applyAlignment="0">
      <protection locked="0"/>
    </xf>
    <xf numFmtId="175" fontId="14" fillId="0" borderId="0" applyFill="0" applyBorder="0" applyProtection="0"/>
    <xf numFmtId="175" fontId="14" fillId="4" borderId="0" applyFill="0" applyBorder="0" applyAlignment="0" applyProtection="0">
      <alignment vertical="top"/>
    </xf>
    <xf numFmtId="176" fontId="15" fillId="5" borderId="0" applyFill="0" applyBorder="0" applyAlignment="0" applyProtection="0">
      <alignment vertical="top"/>
    </xf>
    <xf numFmtId="177" fontId="15" fillId="5" borderId="0" applyFill="0" applyBorder="0" applyAlignment="0" applyProtection="0">
      <alignment vertical="top"/>
    </xf>
    <xf numFmtId="17" fontId="14" fillId="4" borderId="0" applyFont="0" applyFill="0" applyBorder="0" applyAlignment="0" applyProtection="0"/>
    <xf numFmtId="0" fontId="16" fillId="4" borderId="5" applyFill="0" applyProtection="0">
      <alignment horizontal="right" wrapText="1"/>
    </xf>
    <xf numFmtId="0" fontId="16" fillId="4" borderId="0" applyFill="0" applyProtection="0">
      <alignment horizontal="right" wrapText="1"/>
    </xf>
    <xf numFmtId="0" fontId="16" fillId="4" borderId="6" applyFill="0" applyAlignment="0" applyProtection="0">
      <alignment horizontal="right"/>
    </xf>
    <xf numFmtId="0" fontId="17" fillId="0" borderId="7" applyFill="0" applyProtection="0">
      <alignment horizontal="left" wrapText="1"/>
    </xf>
    <xf numFmtId="0" fontId="17" fillId="0" borderId="8" applyFill="0" applyProtection="0">
      <alignment horizontal="left" wrapText="1"/>
    </xf>
    <xf numFmtId="0" fontId="17" fillId="0" borderId="9" applyFill="0" applyProtection="0">
      <alignment horizontal="left" wrapText="1"/>
    </xf>
    <xf numFmtId="175" fontId="14" fillId="6" borderId="0" applyNumberFormat="0" applyFont="0" applyBorder="0" applyAlignment="0" applyProtection="0">
      <alignment vertical="top"/>
    </xf>
    <xf numFmtId="175" fontId="18" fillId="4" borderId="0" applyNumberFormat="0" applyFill="0" applyBorder="0" applyAlignment="0" applyProtection="0">
      <alignment vertical="top"/>
    </xf>
    <xf numFmtId="175" fontId="19" fillId="0" borderId="4" applyFill="0" applyProtection="0">
      <alignment horizontal="left" vertical="top" wrapText="1"/>
    </xf>
    <xf numFmtId="175" fontId="20" fillId="0" borderId="1" applyFill="0" applyProtection="0">
      <alignment horizontal="left" vertical="top" wrapText="1"/>
    </xf>
    <xf numFmtId="175" fontId="20" fillId="0" borderId="3" applyFill="0" applyProtection="0">
      <alignment horizontal="left" vertical="top" wrapText="1"/>
    </xf>
    <xf numFmtId="175" fontId="21" fillId="5" borderId="10" applyFill="0" applyAlignment="0" applyProtection="0"/>
    <xf numFmtId="175" fontId="22" fillId="5" borderId="11" applyFill="0" applyAlignment="0" applyProtection="0"/>
    <xf numFmtId="175" fontId="23" fillId="0" borderId="0" applyNumberFormat="0" applyFill="0" applyBorder="0" applyAlignment="0" applyProtection="0">
      <alignment horizontal="left" vertical="top"/>
    </xf>
    <xf numFmtId="175" fontId="24" fillId="4" borderId="0" applyNumberFormat="0" applyFill="0" applyBorder="0" applyAlignment="0" applyProtection="0">
      <alignment vertical="top"/>
    </xf>
    <xf numFmtId="175" fontId="25" fillId="0" borderId="0" applyNumberFormat="0" applyFill="0" applyBorder="0" applyAlignment="0" applyProtection="0">
      <alignment horizontal="left" vertical="top"/>
    </xf>
    <xf numFmtId="0" fontId="27" fillId="0" borderId="0"/>
  </cellStyleXfs>
  <cellXfs count="47">
    <xf numFmtId="165" fontId="0" fillId="0" borderId="0" xfId="0"/>
    <xf numFmtId="165" fontId="3" fillId="0" borderId="0" xfId="0" applyFont="1"/>
    <xf numFmtId="165" fontId="4" fillId="0" borderId="0" xfId="0" applyFont="1"/>
    <xf numFmtId="166" fontId="0" fillId="0" borderId="0" xfId="14" applyFont="1"/>
    <xf numFmtId="165" fontId="5" fillId="0" borderId="0" xfId="0" applyFont="1"/>
    <xf numFmtId="165" fontId="2" fillId="0" borderId="0" xfId="0" applyFont="1"/>
    <xf numFmtId="165" fontId="10" fillId="0" borderId="0" xfId="3" applyBorder="1"/>
    <xf numFmtId="165" fontId="0" fillId="0" borderId="0" xfId="0" applyFill="1"/>
    <xf numFmtId="165" fontId="5" fillId="0" borderId="0" xfId="0" applyFont="1" applyFill="1"/>
    <xf numFmtId="165" fontId="0" fillId="0" borderId="0" xfId="0" applyFill="1" applyBorder="1"/>
    <xf numFmtId="165" fontId="5" fillId="0" borderId="0" xfId="9" applyNumberFormat="1" applyFont="1" applyFill="1" applyBorder="1"/>
    <xf numFmtId="165" fontId="4" fillId="0" borderId="0" xfId="0" applyFont="1" applyFill="1"/>
    <xf numFmtId="165" fontId="2" fillId="0" borderId="0" xfId="0" applyFont="1" applyFill="1"/>
    <xf numFmtId="166" fontId="0" fillId="0" borderId="0" xfId="14" applyFont="1" applyFill="1"/>
    <xf numFmtId="165" fontId="3" fillId="0" borderId="0" xfId="0" applyFont="1" applyFill="1"/>
    <xf numFmtId="165" fontId="0" fillId="0" borderId="0" xfId="0" applyFont="1" applyFill="1"/>
    <xf numFmtId="166" fontId="6" fillId="2" borderId="1" xfId="9" applyFont="1" applyFill="1"/>
    <xf numFmtId="168" fontId="0" fillId="0" borderId="0" xfId="0" applyNumberFormat="1" applyFont="1" applyFill="1"/>
    <xf numFmtId="165" fontId="6" fillId="2" borderId="1" xfId="9" applyNumberFormat="1" applyFont="1" applyFill="1"/>
    <xf numFmtId="165" fontId="6" fillId="0" borderId="0" xfId="9" applyNumberFormat="1" applyFill="1" applyBorder="1"/>
    <xf numFmtId="165" fontId="3" fillId="0" borderId="0" xfId="0" applyFont="1" applyFill="1" applyBorder="1"/>
    <xf numFmtId="165" fontId="0" fillId="0" borderId="0" xfId="0" applyFill="1" applyBorder="1" applyProtection="1">
      <protection locked="0"/>
    </xf>
    <xf numFmtId="165" fontId="0" fillId="0" borderId="0" xfId="0" applyFont="1" applyFill="1" applyBorder="1"/>
    <xf numFmtId="164" fontId="5" fillId="0" borderId="0" xfId="0" applyNumberFormat="1" applyFont="1" applyFill="1" applyBorder="1"/>
    <xf numFmtId="164" fontId="5" fillId="0" borderId="0" xfId="0" applyNumberFormat="1" applyFont="1" applyFill="1"/>
    <xf numFmtId="165" fontId="0" fillId="3" borderId="0" xfId="0" applyFill="1"/>
    <xf numFmtId="165" fontId="5" fillId="0" borderId="0" xfId="0" applyFont="1" applyFill="1" applyBorder="1"/>
    <xf numFmtId="165" fontId="6" fillId="0" borderId="0" xfId="9" applyNumberFormat="1" applyFont="1" applyFill="1" applyBorder="1"/>
    <xf numFmtId="165" fontId="6" fillId="0" borderId="0" xfId="0" applyFont="1" applyFill="1" applyBorder="1"/>
    <xf numFmtId="165" fontId="2" fillId="0" borderId="0" xfId="0" applyFont="1" applyFill="1" applyBorder="1" applyAlignment="1">
      <alignment horizontal="center"/>
    </xf>
    <xf numFmtId="165" fontId="13" fillId="0" borderId="0" xfId="0" applyFont="1" applyFill="1"/>
    <xf numFmtId="165" fontId="5" fillId="3" borderId="0" xfId="0" applyFont="1" applyFill="1"/>
    <xf numFmtId="166" fontId="0" fillId="3" borderId="0" xfId="14" applyFont="1" applyFill="1"/>
    <xf numFmtId="0" fontId="27" fillId="0" borderId="0" xfId="42"/>
    <xf numFmtId="0" fontId="27" fillId="7" borderId="0" xfId="42" applyFill="1"/>
    <xf numFmtId="165" fontId="28" fillId="7" borderId="0" xfId="0" applyFont="1" applyFill="1"/>
    <xf numFmtId="165" fontId="0" fillId="7" borderId="0" xfId="0" applyFill="1"/>
    <xf numFmtId="0" fontId="27" fillId="8" borderId="0" xfId="42" applyFill="1"/>
    <xf numFmtId="0" fontId="29" fillId="7" borderId="0" xfId="42" applyFont="1" applyFill="1"/>
    <xf numFmtId="0" fontId="30" fillId="7" borderId="0" xfId="42" applyFont="1" applyFill="1"/>
    <xf numFmtId="0" fontId="31" fillId="0" borderId="0" xfId="42" applyFont="1"/>
    <xf numFmtId="165" fontId="26" fillId="7" borderId="0" xfId="0" applyFont="1" applyFill="1" applyAlignment="1">
      <alignment horizontal="right"/>
    </xf>
    <xf numFmtId="165" fontId="32" fillId="7" borderId="0" xfId="0" applyFont="1" applyFill="1" applyAlignment="1">
      <alignment horizontal="left"/>
    </xf>
    <xf numFmtId="165" fontId="32" fillId="7" borderId="0" xfId="0" applyFont="1" applyFill="1" applyAlignment="1">
      <alignment horizontal="right"/>
    </xf>
    <xf numFmtId="165" fontId="33" fillId="0" borderId="0" xfId="0" applyFont="1"/>
    <xf numFmtId="165" fontId="26" fillId="7" borderId="0" xfId="0" applyFont="1" applyFill="1" applyAlignment="1">
      <alignment horizontal="left"/>
    </xf>
    <xf numFmtId="165" fontId="0" fillId="0" borderId="0" xfId="0" applyFont="1" applyFill="1" applyBorder="1" applyProtection="1">
      <protection locked="0"/>
    </xf>
  </cellXfs>
  <cellStyles count="43">
    <cellStyle name="'" xfId="1"/>
    <cellStyle name="# - numbers" xfId="22"/>
    <cellStyle name="# - Percent" xfId="23"/>
    <cellStyle name="# - x Multiples" xfId="24"/>
    <cellStyle name="1,comma" xfId="2"/>
    <cellStyle name="b" xfId="3"/>
    <cellStyle name="blank" xfId="4"/>
    <cellStyle name="Blue" xfId="5"/>
    <cellStyle name="Blue 2" xfId="19"/>
    <cellStyle name="d" xfId="6"/>
    <cellStyle name="date" xfId="7"/>
    <cellStyle name="Dates (mmm-yy) v2" xfId="25"/>
    <cellStyle name="hard no." xfId="8"/>
    <cellStyle name="Heading: fin base" xfId="26"/>
    <cellStyle name="Heading: fin no borders" xfId="27"/>
    <cellStyle name="Heading: fin upper" xfId="28"/>
    <cellStyle name="Heading: Text table" xfId="29"/>
    <cellStyle name="Heading: Text table (1st column)" xfId="30"/>
    <cellStyle name="Heading: Text table (last column)" xfId="31"/>
    <cellStyle name="Highlight" xfId="32"/>
    <cellStyle name="Input" xfId="9" builtinId="20" customBuiltin="1"/>
    <cellStyle name="Locked" xfId="10"/>
    <cellStyle name="m" xfId="11"/>
    <cellStyle name="multiple" xfId="12"/>
    <cellStyle name="Normal" xfId="0" builtinId="0"/>
    <cellStyle name="Normal 2" xfId="17"/>
    <cellStyle name="Normal 3" xfId="18"/>
    <cellStyle name="Normal 4" xfId="21"/>
    <cellStyle name="Normal 4 2" xfId="42"/>
    <cellStyle name="p" xfId="13"/>
    <cellStyle name="Percent" xfId="14" builtinId="5"/>
    <cellStyle name="Source:" xfId="33"/>
    <cellStyle name="Text table: 1st column rows" xfId="34"/>
    <cellStyle name="Text table: centre columns and rows" xfId="35"/>
    <cellStyle name="Text table: last column" xfId="36"/>
    <cellStyle name="times" xfId="15"/>
    <cellStyle name="Topline" xfId="16"/>
    <cellStyle name="Totals: Sub-total" xfId="37"/>
    <cellStyle name="Totals: Total" xfId="38"/>
    <cellStyle name="Traffic light: amber" xfId="39"/>
    <cellStyle name="Traffic light: Green" xfId="40"/>
    <cellStyle name="Traffic light: Red" xfId="41"/>
    <cellStyle name="Unlocked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E00"/>
      <rgbColor rgb="00000080"/>
      <rgbColor rgb="00808000"/>
      <rgbColor rgb="00800080"/>
      <rgbColor rgb="00008080"/>
      <rgbColor rgb="00C0C0C0"/>
      <rgbColor rgb="00808080"/>
      <rgbColor rgb="00EAFFDF"/>
      <rgbColor rgb="00993366"/>
      <rgbColor rgb="00FFFFCB"/>
      <rgbColor rgb="00E3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3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497205</xdr:colOff>
      <xdr:row>1</xdr:row>
      <xdr:rowOff>6985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54655" cy="978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497205</xdr:colOff>
      <xdr:row>1</xdr:row>
      <xdr:rowOff>6985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54655" cy="9785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scoli/Documents/Clients/DB/London/ATP%202010/Materials/Modeling/Exam/Documents%20and%20Settings/jpinedo/Desktop/Final%20versions/Modelling/Forecasting%20Models/Cadbury%20lite%2007%20answ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dicrescenzo/Local%20Settings/Temporary%20Internet%20Files/Content.Outlook/AV5RIX6C/PPB%20Advisory_Databook_Proforma_19%20April%202011_SHELL%20(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Cover"/>
      <sheetName val="Assumptions"/>
      <sheetName val="Calcs"/>
      <sheetName val="Debt"/>
      <sheetName val="IS"/>
      <sheetName val="BS"/>
      <sheetName val="CFS"/>
      <sheetName val="Ratios"/>
    </sheetNames>
    <sheetDataSet>
      <sheetData sheetId="0"/>
      <sheetData sheetId="1">
        <row r="10">
          <cell r="C10" t="str">
            <v>Cadbury Schweppes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FS"/>
      <sheetName val="Cover"/>
      <sheetName val="Setup"/>
      <sheetName val="Syle guide"/>
      <sheetName val="Abb"/>
      <sheetName val="Contents"/>
      <sheetName val="PL_1"/>
      <sheetName val="GS&amp;A"/>
      <sheetName val="CI"/>
      <sheetName val="PL_2"/>
      <sheetName val="CF_1"/>
      <sheetName val="BS_1"/>
      <sheetName val="BS_2"/>
      <sheetName val="BS_3"/>
      <sheetName val="IA_1"/>
      <sheetName val="IA_2"/>
      <sheetName val="IA_3"/>
      <sheetName val="IA_4"/>
      <sheetName val="IA_5"/>
      <sheetName val="IA_6"/>
      <sheetName val="IA_7"/>
      <sheetName val="IA_8"/>
      <sheetName val="IA_9"/>
      <sheetName val="IA_10"/>
      <sheetName val="L "/>
      <sheetName val="Sheet1"/>
      <sheetName val="Copy sheet"/>
    </sheetNames>
    <sheetDataSet>
      <sheetData sheetId="0"/>
      <sheetData sheetId="1"/>
      <sheetData sheetId="2">
        <row r="12">
          <cell r="F12" t="str">
            <v>Project Test Databook</v>
          </cell>
        </row>
      </sheetData>
      <sheetData sheetId="3"/>
      <sheetData sheetId="4"/>
      <sheetData sheetId="5"/>
      <sheetData sheetId="6">
        <row r="9">
          <cell r="E9">
            <v>3</v>
          </cell>
        </row>
      </sheetData>
      <sheetData sheetId="7"/>
      <sheetData sheetId="8"/>
      <sheetData sheetId="9"/>
      <sheetData sheetId="10">
        <row r="35">
          <cell r="F35">
            <v>0</v>
          </cell>
        </row>
      </sheetData>
      <sheetData sheetId="11">
        <row r="43">
          <cell r="E43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A13" sqref="A13"/>
    </sheetView>
  </sheetViews>
  <sheetFormatPr baseColWidth="10" defaultColWidth="0" defaultRowHeight="15" x14ac:dyDescent="0"/>
  <cols>
    <col min="1" max="6" width="36.83203125" style="33" customWidth="1"/>
    <col min="7" max="13" width="0" style="33" hidden="1" customWidth="1"/>
    <col min="14" max="16384" width="12.5" style="33" hidden="1"/>
  </cols>
  <sheetData>
    <row r="1" spans="1:13" ht="77" customHeight="1">
      <c r="B1" s="34"/>
      <c r="C1" s="34"/>
      <c r="D1" s="34"/>
      <c r="E1" s="34"/>
      <c r="F1" s="34"/>
    </row>
    <row r="2" spans="1:13" ht="23">
      <c r="A2" s="35" t="s">
        <v>179</v>
      </c>
      <c r="B2" s="36"/>
      <c r="C2" s="36"/>
      <c r="D2" s="36"/>
      <c r="E2" s="36"/>
      <c r="F2" s="34"/>
      <c r="G2" s="37"/>
      <c r="H2" s="37"/>
      <c r="I2" s="37"/>
      <c r="J2" s="37"/>
      <c r="K2" s="37"/>
      <c r="L2" s="37"/>
      <c r="M2" s="37"/>
    </row>
    <row r="3" spans="1:13">
      <c r="A3" s="34"/>
      <c r="B3" s="34"/>
      <c r="C3" s="34"/>
      <c r="D3" s="34"/>
      <c r="E3" s="34"/>
      <c r="F3" s="34"/>
      <c r="G3" s="37"/>
      <c r="H3" s="37"/>
      <c r="I3" s="37"/>
      <c r="J3" s="37"/>
      <c r="K3" s="37"/>
      <c r="L3" s="37"/>
      <c r="M3" s="37"/>
    </row>
    <row r="4" spans="1:13">
      <c r="A4" s="38"/>
      <c r="B4" s="34"/>
      <c r="C4" s="34"/>
      <c r="D4" s="34"/>
      <c r="E4" s="34"/>
      <c r="F4" s="34"/>
      <c r="G4" s="37"/>
      <c r="H4" s="37"/>
      <c r="I4" s="37"/>
      <c r="J4" s="37"/>
      <c r="K4" s="37"/>
      <c r="L4" s="37"/>
      <c r="M4" s="37"/>
    </row>
    <row r="5" spans="1:13">
      <c r="A5" s="34"/>
      <c r="B5" s="34"/>
      <c r="C5" s="34"/>
      <c r="D5" s="34"/>
      <c r="E5" s="34"/>
      <c r="F5" s="34"/>
      <c r="G5" s="37"/>
      <c r="H5" s="37"/>
      <c r="I5" s="37"/>
      <c r="J5" s="37"/>
      <c r="K5" s="37"/>
      <c r="L5" s="37"/>
      <c r="M5" s="37"/>
    </row>
    <row r="6" spans="1:13">
      <c r="A6" s="39"/>
      <c r="B6" s="34"/>
      <c r="C6" s="34"/>
      <c r="D6" s="34"/>
      <c r="E6" s="34"/>
      <c r="F6" s="34"/>
      <c r="G6" s="37"/>
      <c r="H6" s="37"/>
      <c r="I6" s="37"/>
      <c r="J6" s="37"/>
      <c r="K6" s="37"/>
      <c r="L6" s="37"/>
      <c r="M6" s="37"/>
    </row>
    <row r="7" spans="1:13">
      <c r="A7" s="34"/>
      <c r="B7" s="34"/>
      <c r="C7" s="34"/>
      <c r="D7" s="34"/>
      <c r="E7" s="34"/>
      <c r="F7" s="34"/>
      <c r="G7" s="37"/>
      <c r="H7" s="37"/>
      <c r="I7" s="37"/>
      <c r="J7" s="37"/>
      <c r="K7" s="37"/>
      <c r="L7" s="37"/>
      <c r="M7" s="37"/>
    </row>
    <row r="9" spans="1:13" ht="18">
      <c r="A9" s="40" t="s">
        <v>170</v>
      </c>
    </row>
    <row r="10" spans="1:13" ht="18">
      <c r="A10" s="40"/>
    </row>
  </sheetData>
  <pageMargins left="0.75" right="0.75" top="1" bottom="1" header="0.5" footer="0.5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zoomScale="99"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/>
    </sheetView>
  </sheetViews>
  <sheetFormatPr baseColWidth="10" defaultColWidth="8.83203125" defaultRowHeight="12" x14ac:dyDescent="0"/>
  <cols>
    <col min="1" max="1" width="1.6640625" style="7" customWidth="1"/>
    <col min="2" max="2" width="55.6640625" style="7" customWidth="1"/>
    <col min="3" max="9" width="10.33203125" style="7" customWidth="1"/>
    <col min="10" max="16384" width="8.83203125" style="7"/>
  </cols>
  <sheetData>
    <row r="1" spans="1:16" s="1" customFormat="1" ht="23.25" customHeight="1">
      <c r="A1" s="41"/>
      <c r="B1" s="41"/>
      <c r="C1" s="41" t="s">
        <v>0</v>
      </c>
      <c r="D1" s="41" t="s">
        <v>0</v>
      </c>
      <c r="E1" s="41" t="s">
        <v>1</v>
      </c>
      <c r="F1" s="41" t="s">
        <v>1</v>
      </c>
      <c r="G1" s="41" t="s">
        <v>1</v>
      </c>
      <c r="H1" s="41" t="s">
        <v>1</v>
      </c>
      <c r="I1" s="41" t="s">
        <v>1</v>
      </c>
      <c r="J1" s="41"/>
      <c r="K1" s="41"/>
      <c r="L1" s="41"/>
      <c r="M1" s="41"/>
      <c r="N1" s="41"/>
      <c r="O1" s="41"/>
      <c r="P1" s="41"/>
    </row>
    <row r="2" spans="1:16" s="44" customFormat="1" ht="19.5" customHeight="1">
      <c r="A2" s="42" t="s">
        <v>35</v>
      </c>
      <c r="B2" s="43"/>
      <c r="C2" s="41" t="s">
        <v>92</v>
      </c>
      <c r="D2" s="41" t="s">
        <v>93</v>
      </c>
      <c r="E2" s="41" t="s">
        <v>94</v>
      </c>
      <c r="F2" s="41" t="s">
        <v>95</v>
      </c>
      <c r="G2" s="41" t="s">
        <v>96</v>
      </c>
      <c r="H2" s="41" t="s">
        <v>97</v>
      </c>
      <c r="I2" s="41" t="s">
        <v>98</v>
      </c>
      <c r="J2" s="43"/>
      <c r="K2" s="43"/>
      <c r="L2" s="43"/>
      <c r="M2" s="43"/>
      <c r="N2" s="43"/>
      <c r="O2" s="43"/>
      <c r="P2" s="43"/>
    </row>
    <row r="3" spans="1:16">
      <c r="A3" s="11" t="s">
        <v>25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>
      <c r="A4" s="15"/>
      <c r="B4" s="11" t="s">
        <v>48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16" s="8" customFormat="1">
      <c r="A5" s="12"/>
      <c r="B5" s="15" t="s">
        <v>70</v>
      </c>
      <c r="C5" s="13"/>
      <c r="D5" s="13">
        <f>IncState!D3/IncState!C3-1</f>
        <v>-6.7308944147897454E-2</v>
      </c>
      <c r="E5" s="16">
        <v>0.02</v>
      </c>
      <c r="F5" s="16">
        <v>0.02</v>
      </c>
      <c r="G5" s="16">
        <v>0.02</v>
      </c>
      <c r="H5" s="16">
        <v>0.02</v>
      </c>
      <c r="I5" s="16">
        <v>0.02</v>
      </c>
      <c r="J5" s="15"/>
      <c r="K5" s="15"/>
      <c r="L5" s="15"/>
      <c r="M5" s="15"/>
      <c r="N5" s="15"/>
      <c r="O5" s="15"/>
      <c r="P5" s="15"/>
    </row>
    <row r="6" spans="1:16" s="8" customFormat="1">
      <c r="A6" s="12"/>
      <c r="B6" s="15" t="s">
        <v>71</v>
      </c>
      <c r="C6" s="13"/>
      <c r="D6" s="13">
        <f>IncState!D4/IncState!C4-1</f>
        <v>-0.1901408450704225</v>
      </c>
      <c r="E6" s="16">
        <v>0.02</v>
      </c>
      <c r="F6" s="16">
        <v>0.02</v>
      </c>
      <c r="G6" s="16">
        <v>0.02</v>
      </c>
      <c r="H6" s="16">
        <v>0.02</v>
      </c>
      <c r="I6" s="16">
        <v>0.02</v>
      </c>
      <c r="J6" s="15"/>
      <c r="K6" s="15"/>
      <c r="L6" s="15"/>
      <c r="M6" s="15"/>
      <c r="N6" s="15"/>
      <c r="O6" s="15"/>
      <c r="P6" s="15"/>
    </row>
    <row r="7" spans="1:16" s="8" customFormat="1">
      <c r="A7" s="12"/>
      <c r="B7" s="15" t="s">
        <v>72</v>
      </c>
      <c r="C7" s="13"/>
      <c r="D7" s="13">
        <f>IncState!D5/IncState!C5-1</f>
        <v>-3.916449086161844E-3</v>
      </c>
      <c r="E7" s="16">
        <v>0.03</v>
      </c>
      <c r="F7" s="16">
        <v>0.03</v>
      </c>
      <c r="G7" s="16">
        <v>0.03</v>
      </c>
      <c r="H7" s="16">
        <v>0.03</v>
      </c>
      <c r="I7" s="16">
        <v>0.03</v>
      </c>
      <c r="J7" s="15"/>
      <c r="K7" s="15"/>
      <c r="L7" s="15"/>
      <c r="M7" s="15"/>
      <c r="N7" s="15"/>
      <c r="O7" s="15"/>
      <c r="P7" s="15"/>
    </row>
    <row r="8" spans="1:16" s="8" customFormat="1">
      <c r="A8" s="12"/>
      <c r="B8" s="15" t="s">
        <v>73</v>
      </c>
      <c r="C8" s="13"/>
      <c r="D8" s="13">
        <f>IncState!D6/IncState!C6-1</f>
        <v>-5.7975761546020355E-2</v>
      </c>
      <c r="E8" s="16">
        <v>0.04</v>
      </c>
      <c r="F8" s="16">
        <v>0.04</v>
      </c>
      <c r="G8" s="16">
        <v>0.04</v>
      </c>
      <c r="H8" s="16">
        <v>0.04</v>
      </c>
      <c r="I8" s="16">
        <v>0.04</v>
      </c>
      <c r="J8" s="15"/>
      <c r="K8" s="15"/>
      <c r="L8" s="15"/>
      <c r="M8" s="15"/>
      <c r="N8" s="15"/>
      <c r="O8" s="15"/>
      <c r="P8" s="15"/>
    </row>
    <row r="9" spans="1:16">
      <c r="A9" s="15"/>
      <c r="B9" s="11" t="s">
        <v>43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16">
      <c r="A10" s="15"/>
      <c r="B10" s="15" t="s">
        <v>77</v>
      </c>
      <c r="C10" s="13">
        <f>IncState!C9/IncState!C7</f>
        <v>0.54863117347640666</v>
      </c>
      <c r="D10" s="13">
        <f>IncState!D9/IncState!D7</f>
        <v>0.54401014471132325</v>
      </c>
      <c r="E10" s="16">
        <v>0.55000000000000004</v>
      </c>
      <c r="F10" s="16">
        <v>0.55000000000000004</v>
      </c>
      <c r="G10" s="16">
        <v>0.55000000000000004</v>
      </c>
      <c r="H10" s="16">
        <v>0.55000000000000004</v>
      </c>
      <c r="I10" s="16">
        <v>0.55000000000000004</v>
      </c>
      <c r="J10" s="15"/>
      <c r="K10" s="15"/>
      <c r="L10" s="15"/>
      <c r="M10" s="15"/>
      <c r="N10" s="15"/>
      <c r="O10" s="15"/>
      <c r="P10" s="15"/>
    </row>
    <row r="11" spans="1:16">
      <c r="A11" s="15"/>
      <c r="B11" s="15" t="s">
        <v>19</v>
      </c>
      <c r="C11" s="13"/>
      <c r="D11" s="13">
        <f>+IncState!D15/BalSheet!C9</f>
        <v>0.13378108549646034</v>
      </c>
      <c r="E11" s="16">
        <v>0.13400000000000001</v>
      </c>
      <c r="F11" s="16">
        <v>0.13400000000000001</v>
      </c>
      <c r="G11" s="16">
        <v>0.13400000000000001</v>
      </c>
      <c r="H11" s="16">
        <v>0.13400000000000001</v>
      </c>
      <c r="I11" s="16">
        <v>0.13400000000000001</v>
      </c>
      <c r="J11" s="15"/>
      <c r="K11" s="15"/>
      <c r="L11" s="15"/>
      <c r="M11" s="15"/>
      <c r="N11" s="15"/>
      <c r="O11" s="15"/>
      <c r="P11" s="15"/>
    </row>
    <row r="12" spans="1:16">
      <c r="A12" s="15"/>
      <c r="B12" s="15" t="s">
        <v>86</v>
      </c>
      <c r="C12" s="13">
        <f>IncState!C10/IncState!C7</f>
        <v>0.26908790755262074</v>
      </c>
      <c r="D12" s="13">
        <f>IncState!D10/IncState!D7</f>
        <v>0.24638221691779799</v>
      </c>
      <c r="E12" s="16">
        <v>0.246</v>
      </c>
      <c r="F12" s="16">
        <v>0.246</v>
      </c>
      <c r="G12" s="16">
        <v>0.246</v>
      </c>
      <c r="H12" s="16">
        <v>0.246</v>
      </c>
      <c r="I12" s="16">
        <v>0.246</v>
      </c>
      <c r="J12" s="15"/>
      <c r="K12" s="15"/>
      <c r="L12" s="15"/>
      <c r="M12" s="15"/>
      <c r="N12" s="15"/>
      <c r="O12" s="15"/>
      <c r="P12" s="15"/>
    </row>
    <row r="13" spans="1:16">
      <c r="A13" s="15"/>
      <c r="B13" s="15" t="s">
        <v>63</v>
      </c>
      <c r="C13" s="15">
        <f>IncState!C16</f>
        <v>80</v>
      </c>
      <c r="D13" s="15">
        <f>IncState!D16</f>
        <v>116</v>
      </c>
      <c r="E13" s="18">
        <v>116</v>
      </c>
      <c r="F13" s="18">
        <v>116</v>
      </c>
      <c r="G13" s="18">
        <v>116</v>
      </c>
      <c r="H13" s="18">
        <v>116</v>
      </c>
      <c r="I13" s="18">
        <v>116</v>
      </c>
      <c r="J13" s="15"/>
      <c r="K13" s="15"/>
      <c r="L13" s="15"/>
      <c r="M13" s="15"/>
      <c r="N13" s="15"/>
      <c r="O13" s="15"/>
      <c r="P13" s="15"/>
    </row>
    <row r="14" spans="1:16">
      <c r="A14" s="15"/>
      <c r="B14" s="15" t="s">
        <v>17</v>
      </c>
      <c r="C14" s="13">
        <f>IncState!C11/IncState!C7</f>
        <v>8.4605860503508046E-2</v>
      </c>
      <c r="D14" s="13">
        <f>IncState!D11/IncState!D7</f>
        <v>6.8775175294644192E-2</v>
      </c>
      <c r="E14" s="16">
        <v>6.9000000000000006E-2</v>
      </c>
      <c r="F14" s="16">
        <v>6.9000000000000006E-2</v>
      </c>
      <c r="G14" s="16">
        <v>6.9000000000000006E-2</v>
      </c>
      <c r="H14" s="16">
        <v>6.9000000000000006E-2</v>
      </c>
      <c r="I14" s="16">
        <v>6.9000000000000006E-2</v>
      </c>
      <c r="J14" s="15"/>
      <c r="K14" s="15"/>
      <c r="L14" s="15"/>
      <c r="M14" s="15"/>
      <c r="N14" s="15"/>
      <c r="O14" s="15"/>
      <c r="P14" s="15"/>
    </row>
    <row r="15" spans="1:16">
      <c r="A15" s="15"/>
      <c r="B15" s="15" t="s">
        <v>89</v>
      </c>
      <c r="C15" s="15">
        <f>IncState!C19</f>
        <v>1269</v>
      </c>
      <c r="D15" s="15">
        <f>IncState!D19</f>
        <v>-328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5"/>
      <c r="K15" s="15"/>
      <c r="L15" s="15"/>
      <c r="M15" s="15"/>
      <c r="N15" s="15"/>
      <c r="O15" s="15"/>
      <c r="P15" s="15"/>
    </row>
    <row r="16" spans="1:16">
      <c r="A16" s="15"/>
      <c r="B16" s="15" t="s">
        <v>18</v>
      </c>
      <c r="C16" s="13">
        <f>IncState!C24/IncState!C22</f>
        <v>-6.2909567496723454E-2</v>
      </c>
      <c r="D16" s="13">
        <f>IncState!D24/IncState!D22</f>
        <v>0.56466876971608837</v>
      </c>
      <c r="E16" s="16">
        <v>0.34</v>
      </c>
      <c r="F16" s="16">
        <v>0.34</v>
      </c>
      <c r="G16" s="16">
        <v>0.34</v>
      </c>
      <c r="H16" s="16">
        <v>0.34</v>
      </c>
      <c r="I16" s="16">
        <v>0.34</v>
      </c>
      <c r="J16" s="15"/>
      <c r="K16" s="15"/>
      <c r="L16" s="15"/>
      <c r="M16" s="15"/>
      <c r="N16" s="15"/>
      <c r="O16" s="15"/>
      <c r="P16" s="15"/>
    </row>
    <row r="17" spans="1:16">
      <c r="A17" s="15"/>
      <c r="B17" s="15" t="s">
        <v>119</v>
      </c>
      <c r="C17" s="16">
        <v>0.376</v>
      </c>
      <c r="D17" s="16">
        <v>0.376</v>
      </c>
      <c r="E17" s="16">
        <v>0.376</v>
      </c>
      <c r="F17" s="16">
        <v>0.376</v>
      </c>
      <c r="G17" s="16">
        <v>0.376</v>
      </c>
      <c r="H17" s="16">
        <v>0.376</v>
      </c>
      <c r="I17" s="16">
        <v>0.376</v>
      </c>
      <c r="J17" s="15"/>
      <c r="K17" s="15"/>
      <c r="L17" s="15"/>
      <c r="M17" s="15"/>
      <c r="N17" s="15"/>
      <c r="O17" s="15"/>
      <c r="P17" s="15"/>
    </row>
    <row r="18" spans="1:16">
      <c r="A18" s="15"/>
      <c r="B18" s="15" t="s">
        <v>38</v>
      </c>
      <c r="C18" s="13"/>
      <c r="D18" s="13">
        <f>IncState!D33/IncState!C33-1</f>
        <v>3.9615297401529581E-4</v>
      </c>
      <c r="E18" s="16">
        <v>0.03</v>
      </c>
      <c r="F18" s="16">
        <v>0.03</v>
      </c>
      <c r="G18" s="16">
        <v>0.03</v>
      </c>
      <c r="H18" s="16">
        <v>0.03</v>
      </c>
      <c r="I18" s="16">
        <v>0.03</v>
      </c>
      <c r="J18" s="15"/>
      <c r="K18" s="15"/>
      <c r="L18" s="15"/>
      <c r="M18" s="15"/>
      <c r="N18" s="15"/>
      <c r="O18" s="15"/>
      <c r="P18" s="15"/>
    </row>
    <row r="19" spans="1:16">
      <c r="A19" s="15"/>
      <c r="B19" s="15" t="s">
        <v>78</v>
      </c>
      <c r="C19" s="15">
        <f>IncState!C31</f>
        <v>327.39999999999998</v>
      </c>
      <c r="D19" s="15">
        <f>IncState!D31</f>
        <v>323.3</v>
      </c>
      <c r="E19" s="18">
        <v>323.3</v>
      </c>
      <c r="F19" s="18">
        <v>323.3</v>
      </c>
      <c r="G19" s="18">
        <v>323.3</v>
      </c>
      <c r="H19" s="18">
        <v>323.3</v>
      </c>
      <c r="I19" s="18">
        <v>323.3</v>
      </c>
      <c r="J19" s="15"/>
      <c r="K19" s="15"/>
      <c r="L19" s="15"/>
      <c r="M19" s="15"/>
      <c r="N19" s="15"/>
      <c r="O19" s="15"/>
      <c r="P19" s="15"/>
    </row>
    <row r="20" spans="1:16">
      <c r="A20" s="11" t="s">
        <v>39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>
      <c r="A21" s="11"/>
      <c r="B21" s="11" t="s">
        <v>54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>
      <c r="A22" s="11"/>
      <c r="B22" s="15" t="s">
        <v>110</v>
      </c>
      <c r="C22" s="15"/>
      <c r="D22" s="15"/>
      <c r="E22" s="16">
        <v>4.4999999999999998E-2</v>
      </c>
      <c r="F22" s="16">
        <v>4.4999999999999998E-2</v>
      </c>
      <c r="G22" s="16">
        <v>4.4999999999999998E-2</v>
      </c>
      <c r="H22" s="16">
        <v>4.4999999999999998E-2</v>
      </c>
      <c r="I22" s="16">
        <v>4.4999999999999998E-2</v>
      </c>
      <c r="J22" s="15"/>
      <c r="K22" s="15"/>
      <c r="L22" s="15"/>
      <c r="M22" s="15"/>
      <c r="N22" s="15"/>
      <c r="O22" s="15"/>
      <c r="P22" s="15"/>
    </row>
    <row r="23" spans="1:16">
      <c r="A23" s="15"/>
      <c r="B23" s="15" t="s">
        <v>59</v>
      </c>
      <c r="C23" s="17">
        <f>BalSheet!C4/IncState!C7</f>
        <v>0.15621130829550145</v>
      </c>
      <c r="D23" s="17">
        <f>BalSheet!D4/IncState!D7</f>
        <v>0.18849768760256602</v>
      </c>
      <c r="E23" s="16">
        <v>0.188</v>
      </c>
      <c r="F23" s="16">
        <v>0.188</v>
      </c>
      <c r="G23" s="16">
        <v>0.188</v>
      </c>
      <c r="H23" s="16">
        <v>0.188</v>
      </c>
      <c r="I23" s="16">
        <v>0.188</v>
      </c>
      <c r="J23" s="15"/>
      <c r="K23" s="15"/>
      <c r="L23" s="15"/>
      <c r="M23" s="15"/>
      <c r="N23" s="15"/>
      <c r="O23" s="15"/>
      <c r="P23" s="15"/>
    </row>
    <row r="24" spans="1:16">
      <c r="A24" s="15"/>
      <c r="B24" s="15" t="s">
        <v>88</v>
      </c>
      <c r="C24" s="13">
        <f>BalSheet!C5/IncState!C9</f>
        <v>0.15697091273821465</v>
      </c>
      <c r="D24" s="13">
        <f>BalSheet!D5/IncState!D9</f>
        <v>0.19525572466748936</v>
      </c>
      <c r="E24" s="16">
        <v>0.19500000000000001</v>
      </c>
      <c r="F24" s="16">
        <v>0.19500000000000001</v>
      </c>
      <c r="G24" s="16">
        <v>0.19500000000000001</v>
      </c>
      <c r="H24" s="16">
        <v>0.19500000000000001</v>
      </c>
      <c r="I24" s="16">
        <v>0.19500000000000001</v>
      </c>
      <c r="J24" s="15"/>
      <c r="K24" s="15"/>
      <c r="L24" s="15"/>
      <c r="M24" s="15"/>
      <c r="N24" s="15"/>
      <c r="O24" s="15"/>
      <c r="P24" s="15"/>
    </row>
    <row r="25" spans="1:16">
      <c r="A25" s="15"/>
      <c r="B25" s="15" t="s">
        <v>64</v>
      </c>
      <c r="C25" s="13">
        <f>BalSheet!C6/IncState!C7</f>
        <v>8.4193148988856784E-2</v>
      </c>
      <c r="D25" s="13">
        <f>BalSheet!D6/IncState!D7</f>
        <v>8.8840817544383111E-2</v>
      </c>
      <c r="E25" s="16">
        <v>8.8999999999999996E-2</v>
      </c>
      <c r="F25" s="16">
        <v>8.8999999999999996E-2</v>
      </c>
      <c r="G25" s="16">
        <v>8.8999999999999996E-2</v>
      </c>
      <c r="H25" s="16">
        <v>8.8999999999999996E-2</v>
      </c>
      <c r="I25" s="16">
        <v>8.8999999999999996E-2</v>
      </c>
      <c r="J25" s="15"/>
      <c r="K25" s="15"/>
      <c r="L25" s="15"/>
      <c r="M25" s="15"/>
      <c r="N25" s="15"/>
      <c r="O25" s="15"/>
      <c r="P25" s="15"/>
    </row>
    <row r="26" spans="1:16">
      <c r="A26" s="15"/>
      <c r="B26" s="11" t="s">
        <v>53</v>
      </c>
      <c r="C26" s="13"/>
      <c r="D26" s="13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6">
      <c r="A27" s="15"/>
      <c r="B27" s="15" t="s">
        <v>60</v>
      </c>
      <c r="C27" s="13">
        <f>Calcs!C5/IncState!C7</f>
        <v>0.10214609987618654</v>
      </c>
      <c r="D27" s="13">
        <f>Calcs!D5/IncState!D7</f>
        <v>8.2649559898552882E-2</v>
      </c>
      <c r="E27" s="16">
        <v>8.4000000000000005E-2</v>
      </c>
      <c r="F27" s="16">
        <v>8.4000000000000005E-2</v>
      </c>
      <c r="G27" s="16">
        <v>8.4000000000000005E-2</v>
      </c>
      <c r="H27" s="16">
        <v>8.4000000000000005E-2</v>
      </c>
      <c r="I27" s="16">
        <v>8.4000000000000005E-2</v>
      </c>
      <c r="J27" s="15"/>
      <c r="K27" s="15"/>
      <c r="L27" s="15"/>
      <c r="M27" s="15"/>
      <c r="N27" s="15"/>
      <c r="O27" s="15"/>
      <c r="P27" s="15"/>
    </row>
    <row r="28" spans="1:16">
      <c r="A28" s="15"/>
      <c r="B28" s="15" t="s">
        <v>80</v>
      </c>
      <c r="C28" s="15"/>
      <c r="D28" s="15">
        <f>BalSheet!D11-BalSheet!C11</f>
        <v>474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5"/>
      <c r="K28" s="15"/>
      <c r="L28" s="15"/>
      <c r="M28" s="15"/>
      <c r="N28" s="15"/>
      <c r="O28" s="15"/>
      <c r="P28" s="15"/>
    </row>
    <row r="29" spans="1:16">
      <c r="A29" s="11"/>
      <c r="B29" s="15" t="s">
        <v>115</v>
      </c>
      <c r="C29" s="13">
        <f>BalSheet!C12/IncState!C7</f>
        <v>2.6275966432796807E-2</v>
      </c>
      <c r="D29" s="13">
        <f>BalSheet!D12/IncState!D7</f>
        <v>2.1109950768312697E-2</v>
      </c>
      <c r="E29" s="16">
        <v>2.1999999999999999E-2</v>
      </c>
      <c r="F29" s="16">
        <v>2.1999999999999999E-2</v>
      </c>
      <c r="G29" s="16">
        <v>2.1999999999999999E-2</v>
      </c>
      <c r="H29" s="16">
        <v>2.1999999999999999E-2</v>
      </c>
      <c r="I29" s="16">
        <v>2.1999999999999999E-2</v>
      </c>
      <c r="J29" s="15"/>
      <c r="K29" s="15"/>
      <c r="L29" s="15"/>
      <c r="M29" s="15"/>
      <c r="N29" s="15"/>
      <c r="O29" s="15"/>
      <c r="P29" s="15"/>
    </row>
    <row r="30" spans="1:16">
      <c r="A30" s="11" t="s">
        <v>41</v>
      </c>
      <c r="B30" s="15"/>
      <c r="C30" s="13"/>
      <c r="D30" s="13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>
      <c r="A31" s="11"/>
      <c r="B31" s="11" t="s">
        <v>52</v>
      </c>
      <c r="C31" s="13"/>
      <c r="D31" s="13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6">
      <c r="A32" s="15"/>
      <c r="B32" s="15" t="s">
        <v>82</v>
      </c>
      <c r="C32" s="17">
        <f>BalSheet!C16/IncState!C9</f>
        <v>0.48044132397191575</v>
      </c>
      <c r="D32" s="17">
        <f>BalSheet!D16/IncState!D9</f>
        <v>0.53558206499382965</v>
      </c>
      <c r="E32" s="16">
        <v>0.54</v>
      </c>
      <c r="F32" s="16">
        <v>0.54</v>
      </c>
      <c r="G32" s="16">
        <v>0.54</v>
      </c>
      <c r="H32" s="16">
        <v>0.54</v>
      </c>
      <c r="I32" s="16">
        <v>0.54</v>
      </c>
      <c r="J32" s="15"/>
      <c r="K32" s="15"/>
      <c r="L32" s="15"/>
      <c r="M32" s="15"/>
      <c r="N32" s="15"/>
      <c r="O32" s="15"/>
      <c r="P32" s="15"/>
    </row>
    <row r="33" spans="1:16">
      <c r="A33" s="15"/>
      <c r="B33" s="15" t="s">
        <v>85</v>
      </c>
      <c r="C33" s="13"/>
      <c r="D33" s="13">
        <f>BalSheet!D17/IncState!D24</f>
        <v>0.82821229050279332</v>
      </c>
      <c r="E33" s="16">
        <v>0.83</v>
      </c>
      <c r="F33" s="16">
        <v>0.83</v>
      </c>
      <c r="G33" s="16">
        <v>0.83</v>
      </c>
      <c r="H33" s="16">
        <v>0.83</v>
      </c>
      <c r="I33" s="16">
        <v>0.83</v>
      </c>
      <c r="J33" s="15"/>
      <c r="K33" s="15"/>
      <c r="L33" s="15"/>
      <c r="M33" s="15"/>
      <c r="N33" s="15"/>
      <c r="O33" s="15"/>
      <c r="P33" s="15"/>
    </row>
    <row r="34" spans="1:16">
      <c r="A34" s="15"/>
      <c r="B34" s="15" t="s">
        <v>61</v>
      </c>
      <c r="C34" s="13">
        <f>BalSheet!C18/IncState!C7</f>
        <v>1.1487137157793368E-2</v>
      </c>
      <c r="D34" s="13">
        <f>BalSheet!D18/IncState!D7</f>
        <v>1.2009547963598389E-2</v>
      </c>
      <c r="E34" s="16">
        <v>1.2E-2</v>
      </c>
      <c r="F34" s="16">
        <v>1.2E-2</v>
      </c>
      <c r="G34" s="16">
        <v>1.2E-2</v>
      </c>
      <c r="H34" s="16">
        <v>1.2E-2</v>
      </c>
      <c r="I34" s="16">
        <v>1.2E-2</v>
      </c>
      <c r="J34" s="15"/>
      <c r="K34" s="15"/>
      <c r="L34" s="15"/>
      <c r="M34" s="15"/>
      <c r="N34" s="15"/>
      <c r="O34" s="15"/>
      <c r="P34" s="15"/>
    </row>
    <row r="35" spans="1:16">
      <c r="A35" s="15"/>
      <c r="B35" s="11" t="s">
        <v>51</v>
      </c>
      <c r="C35" s="13"/>
      <c r="D35" s="13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>
      <c r="A36" s="15"/>
      <c r="B36" s="15" t="s">
        <v>62</v>
      </c>
      <c r="C36" s="13">
        <f>BalSheet!C22/IncState!C7</f>
        <v>0.21151465125877011</v>
      </c>
      <c r="D36" s="13">
        <f>BalSheet!D22/IncState!D7</f>
        <v>0.2209458451439654</v>
      </c>
      <c r="E36" s="16">
        <v>0.22</v>
      </c>
      <c r="F36" s="16">
        <v>0.22</v>
      </c>
      <c r="G36" s="16">
        <v>0.22</v>
      </c>
      <c r="H36" s="16">
        <v>0.22</v>
      </c>
      <c r="I36" s="16">
        <v>0.22</v>
      </c>
      <c r="J36" s="15"/>
      <c r="K36" s="15"/>
      <c r="L36" s="15"/>
      <c r="M36" s="15"/>
      <c r="N36" s="15"/>
      <c r="O36" s="15"/>
      <c r="P36" s="15"/>
    </row>
    <row r="37" spans="1:16">
      <c r="A37" s="15"/>
      <c r="B37" s="15" t="s">
        <v>40</v>
      </c>
      <c r="C37" s="15"/>
      <c r="D37" s="15">
        <f>BalSheet!D23-BalSheet!C23</f>
        <v>-46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5"/>
      <c r="K37" s="15"/>
      <c r="L37" s="15"/>
      <c r="M37" s="15"/>
      <c r="N37" s="15"/>
      <c r="O37" s="15"/>
      <c r="P37" s="15"/>
    </row>
    <row r="38" spans="1:16">
      <c r="A38" s="15"/>
      <c r="B38" s="11" t="s">
        <v>111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</row>
    <row r="39" spans="1:16">
      <c r="A39" s="15"/>
      <c r="B39" s="15" t="s">
        <v>34</v>
      </c>
      <c r="C39" s="15"/>
      <c r="D39" s="15"/>
      <c r="E39" s="16">
        <v>0.06</v>
      </c>
      <c r="F39" s="16">
        <v>0.06</v>
      </c>
      <c r="G39" s="16">
        <v>0.06</v>
      </c>
      <c r="H39" s="16">
        <v>0.06</v>
      </c>
      <c r="I39" s="16">
        <v>0.06</v>
      </c>
      <c r="J39" s="15"/>
      <c r="K39" s="15"/>
      <c r="L39" s="15"/>
      <c r="M39" s="15"/>
      <c r="N39" s="15"/>
      <c r="O39" s="15"/>
      <c r="P39" s="15"/>
    </row>
    <row r="40" spans="1:16">
      <c r="A40" s="15"/>
      <c r="B40" s="15" t="s">
        <v>112</v>
      </c>
      <c r="C40" s="15"/>
      <c r="D40" s="15"/>
      <c r="E40" s="16">
        <v>0.06</v>
      </c>
      <c r="F40" s="16">
        <v>0.06</v>
      </c>
      <c r="G40" s="16">
        <v>0.06</v>
      </c>
      <c r="H40" s="16">
        <v>0.06</v>
      </c>
      <c r="I40" s="16">
        <v>0.06</v>
      </c>
      <c r="J40" s="15"/>
      <c r="K40" s="15"/>
      <c r="L40" s="15"/>
      <c r="M40" s="15"/>
      <c r="N40" s="15"/>
      <c r="O40" s="15"/>
      <c r="P40" s="15"/>
    </row>
    <row r="41" spans="1:16">
      <c r="A41" s="15"/>
      <c r="B41" s="15" t="s">
        <v>113</v>
      </c>
      <c r="C41" s="15"/>
      <c r="D41" s="15"/>
      <c r="E41" s="16">
        <v>6.5000000000000002E-2</v>
      </c>
      <c r="F41" s="16">
        <v>6.5000000000000002E-2</v>
      </c>
      <c r="G41" s="16">
        <v>6.5000000000000002E-2</v>
      </c>
      <c r="H41" s="16">
        <v>6.5000000000000002E-2</v>
      </c>
      <c r="I41" s="16">
        <v>6.5000000000000002E-2</v>
      </c>
      <c r="J41" s="15"/>
      <c r="K41" s="15"/>
      <c r="L41" s="15"/>
      <c r="M41" s="15"/>
      <c r="N41" s="15"/>
      <c r="O41" s="15"/>
      <c r="P41" s="15"/>
    </row>
    <row r="42" spans="1:16">
      <c r="A42" s="15"/>
      <c r="B42" s="15" t="s">
        <v>114</v>
      </c>
      <c r="C42" s="15"/>
      <c r="D42" s="15"/>
      <c r="E42" s="16">
        <v>0.12</v>
      </c>
      <c r="F42" s="16">
        <v>0.12</v>
      </c>
      <c r="G42" s="16">
        <v>0.12</v>
      </c>
      <c r="H42" s="16">
        <v>0.12</v>
      </c>
      <c r="I42" s="16">
        <v>0.12</v>
      </c>
      <c r="J42" s="15"/>
      <c r="K42" s="15"/>
      <c r="L42" s="15"/>
      <c r="M42" s="15"/>
      <c r="N42" s="15"/>
      <c r="O42" s="15"/>
      <c r="P42" s="15"/>
    </row>
    <row r="43" spans="1:16">
      <c r="A43" s="15"/>
      <c r="B43" s="15" t="s">
        <v>143</v>
      </c>
      <c r="C43" s="15"/>
      <c r="D43" s="15"/>
      <c r="E43" s="18">
        <v>200</v>
      </c>
      <c r="F43" s="18">
        <v>200</v>
      </c>
      <c r="G43" s="18">
        <v>200</v>
      </c>
      <c r="H43" s="18">
        <v>200</v>
      </c>
      <c r="I43" s="18">
        <v>200</v>
      </c>
      <c r="J43" s="15"/>
      <c r="K43" s="15"/>
      <c r="L43" s="15"/>
      <c r="M43" s="15"/>
      <c r="N43" s="15"/>
      <c r="O43" s="15"/>
      <c r="P43" s="15"/>
    </row>
    <row r="44" spans="1:16">
      <c r="A44" s="15"/>
      <c r="B44" s="15" t="s">
        <v>144</v>
      </c>
      <c r="C44" s="15"/>
      <c r="D44" s="15"/>
      <c r="E44" s="18">
        <v>50</v>
      </c>
      <c r="F44" s="18">
        <v>50</v>
      </c>
      <c r="G44" s="18">
        <v>50</v>
      </c>
      <c r="H44" s="18">
        <v>50</v>
      </c>
      <c r="I44" s="18">
        <v>50</v>
      </c>
      <c r="J44" s="15"/>
      <c r="K44" s="15"/>
      <c r="L44" s="15"/>
      <c r="M44" s="15"/>
      <c r="N44" s="15"/>
      <c r="O44" s="15"/>
      <c r="P44" s="15"/>
    </row>
    <row r="45" spans="1:16">
      <c r="A45" s="15"/>
      <c r="B45" s="15" t="s">
        <v>145</v>
      </c>
      <c r="C45" s="15"/>
      <c r="D45" s="15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5"/>
      <c r="K45" s="15"/>
      <c r="L45" s="15"/>
      <c r="M45" s="15"/>
      <c r="N45" s="15"/>
      <c r="O45" s="15"/>
      <c r="P45" s="15"/>
    </row>
    <row r="46" spans="1:16">
      <c r="A46" s="11" t="s">
        <v>42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1:16">
      <c r="A47" s="15" t="s">
        <v>50</v>
      </c>
      <c r="B47" s="15" t="s">
        <v>90</v>
      </c>
      <c r="C47" s="15"/>
      <c r="D47" s="15"/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5"/>
      <c r="K47" s="15"/>
      <c r="L47" s="15"/>
      <c r="M47" s="15"/>
      <c r="N47" s="15"/>
      <c r="O47" s="15"/>
      <c r="P47" s="15"/>
    </row>
  </sheetData>
  <phoneticPr fontId="0" type="noConversion"/>
  <pageMargins left="0.75" right="0.75" top="1" bottom="1" header="0.5" footer="0.5"/>
  <pageSetup scale="79" orientation="landscape" horizontalDpi="4294967292" verticalDpi="300"/>
  <headerFooter alignWithMargins="0">
    <oddHeader>&amp;L&amp;8&amp;F &amp;A</oddHeader>
    <oddFooter>&amp;L&amp;8© Adkins Matchett &amp; Toy 2010&amp;R&amp;8&amp;P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9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/>
    </sheetView>
  </sheetViews>
  <sheetFormatPr baseColWidth="10" defaultColWidth="8.83203125" defaultRowHeight="12" x14ac:dyDescent="0"/>
  <cols>
    <col min="1" max="1" width="1.6640625" customWidth="1"/>
    <col min="2" max="2" width="55.6640625" customWidth="1"/>
    <col min="3" max="9" width="10" customWidth="1"/>
  </cols>
  <sheetData>
    <row r="1" spans="1:16" s="1" customFormat="1" ht="23.25" customHeight="1">
      <c r="A1" s="41"/>
      <c r="B1" s="41"/>
      <c r="C1" s="41" t="s">
        <v>0</v>
      </c>
      <c r="D1" s="41" t="s">
        <v>0</v>
      </c>
      <c r="E1" s="41" t="s">
        <v>1</v>
      </c>
      <c r="F1" s="41" t="s">
        <v>1</v>
      </c>
      <c r="G1" s="41" t="s">
        <v>1</v>
      </c>
      <c r="H1" s="41" t="s">
        <v>1</v>
      </c>
      <c r="I1" s="41" t="s">
        <v>1</v>
      </c>
      <c r="J1" s="41"/>
      <c r="K1" s="41"/>
      <c r="L1" s="41"/>
      <c r="M1" s="41"/>
      <c r="N1" s="41"/>
      <c r="O1" s="41"/>
      <c r="P1" s="41"/>
    </row>
    <row r="2" spans="1:16" s="44" customFormat="1" ht="19.5" customHeight="1">
      <c r="A2" s="42" t="s">
        <v>36</v>
      </c>
      <c r="B2" s="43"/>
      <c r="C2" s="41" t="s">
        <v>92</v>
      </c>
      <c r="D2" s="41" t="s">
        <v>93</v>
      </c>
      <c r="E2" s="41" t="s">
        <v>94</v>
      </c>
      <c r="F2" s="41" t="s">
        <v>95</v>
      </c>
      <c r="G2" s="41" t="s">
        <v>96</v>
      </c>
      <c r="H2" s="41" t="s">
        <v>97</v>
      </c>
      <c r="I2" s="41" t="s">
        <v>98</v>
      </c>
      <c r="J2" s="43"/>
      <c r="K2" s="45"/>
      <c r="L2" s="43"/>
      <c r="M2" s="43"/>
      <c r="N2" s="43"/>
      <c r="O2" s="43"/>
      <c r="P2" s="43"/>
    </row>
    <row r="3" spans="1:16">
      <c r="A3" s="1" t="s">
        <v>140</v>
      </c>
      <c r="B3" s="1"/>
    </row>
    <row r="4" spans="1:16">
      <c r="B4" t="s">
        <v>141</v>
      </c>
      <c r="E4">
        <f>D7</f>
        <v>5914</v>
      </c>
      <c r="F4">
        <f t="shared" ref="F4:I4" si="0">E7</f>
        <v>6276.2636000000002</v>
      </c>
      <c r="G4">
        <f t="shared" si="0"/>
        <v>6619.4239119999993</v>
      </c>
      <c r="H4">
        <f t="shared" si="0"/>
        <v>6946.8701840239992</v>
      </c>
      <c r="I4">
        <f t="shared" si="0"/>
        <v>7261.5633211906224</v>
      </c>
    </row>
    <row r="5" spans="1:16">
      <c r="B5" t="s">
        <v>24</v>
      </c>
      <c r="C5" s="6">
        <v>1485</v>
      </c>
      <c r="D5" s="6">
        <v>1108</v>
      </c>
      <c r="E5">
        <f>Assumptions!E27*IncState!E7</f>
        <v>1154.7396000000001</v>
      </c>
      <c r="F5">
        <f>Assumptions!F27*IncState!F7</f>
        <v>1184.1796343999999</v>
      </c>
      <c r="G5">
        <f>Assumptions!G27*IncState!G7</f>
        <v>1214.4490762319999</v>
      </c>
      <c r="H5">
        <f>Assumptions!H27*IncState!H7</f>
        <v>1245.57374182584</v>
      </c>
      <c r="I5">
        <f>Assumptions!I27*IncState!I7</f>
        <v>1277.5803210825482</v>
      </c>
    </row>
    <row r="6" spans="1:16">
      <c r="B6" t="s">
        <v>20</v>
      </c>
      <c r="E6">
        <f>Assumptions!E11*Calcs!E4</f>
        <v>792.476</v>
      </c>
      <c r="F6">
        <f>Assumptions!F11*Calcs!F4</f>
        <v>841.01932240000008</v>
      </c>
      <c r="G6">
        <f>Assumptions!G11*Calcs!G4</f>
        <v>887.00280420799993</v>
      </c>
      <c r="H6">
        <f>Assumptions!H11*Calcs!H4</f>
        <v>930.88060465921592</v>
      </c>
      <c r="I6">
        <f>Assumptions!I11*Calcs!I4</f>
        <v>973.04948503954347</v>
      </c>
    </row>
    <row r="7" spans="1:16">
      <c r="B7" t="s">
        <v>142</v>
      </c>
      <c r="D7">
        <f>BalSheet!D9</f>
        <v>5914</v>
      </c>
      <c r="E7">
        <f>E4+E5-E6</f>
        <v>6276.2636000000002</v>
      </c>
      <c r="F7">
        <f t="shared" ref="F7:I7" si="1">F4+F5-F6</f>
        <v>6619.4239119999993</v>
      </c>
      <c r="G7">
        <f t="shared" si="1"/>
        <v>6946.8701840239992</v>
      </c>
      <c r="H7">
        <f t="shared" si="1"/>
        <v>7261.5633211906224</v>
      </c>
      <c r="I7">
        <f t="shared" si="1"/>
        <v>7566.0941572336278</v>
      </c>
    </row>
    <row r="9" spans="1:16" s="1" customFormat="1">
      <c r="A9" s="2"/>
      <c r="B9"/>
      <c r="C9"/>
      <c r="D9"/>
      <c r="E9"/>
      <c r="F9"/>
      <c r="G9"/>
      <c r="H9"/>
      <c r="I9"/>
    </row>
    <row r="10" spans="1:16">
      <c r="A10" s="1" t="s">
        <v>122</v>
      </c>
      <c r="B10" s="1"/>
    </row>
    <row r="11" spans="1:16">
      <c r="B11" t="s">
        <v>141</v>
      </c>
      <c r="E11">
        <f>D15</f>
        <v>3988</v>
      </c>
      <c r="F11">
        <f t="shared" ref="F11:I11" si="2">E15</f>
        <v>3950.8420300000002</v>
      </c>
      <c r="G11">
        <f t="shared" si="2"/>
        <v>3885.7097322759996</v>
      </c>
      <c r="H11">
        <f t="shared" si="2"/>
        <v>3797.7789759305192</v>
      </c>
      <c r="I11">
        <f t="shared" si="2"/>
        <v>3688.9278170207022</v>
      </c>
    </row>
    <row r="12" spans="1:16">
      <c r="B12" t="s">
        <v>123</v>
      </c>
      <c r="E12">
        <f>IncState!E25</f>
        <v>549.9420299999997</v>
      </c>
      <c r="F12">
        <f>IncState!F25</f>
        <v>539.58070227600001</v>
      </c>
      <c r="G12">
        <f>IncState!G25</f>
        <v>534.92363365451968</v>
      </c>
      <c r="H12">
        <f>IncState!H25</f>
        <v>532.68886279018352</v>
      </c>
      <c r="I12">
        <f>IncState!I25</f>
        <v>532.51083759360495</v>
      </c>
    </row>
    <row r="13" spans="1:16">
      <c r="B13" t="s">
        <v>124</v>
      </c>
      <c r="E13">
        <f>IncState!E30</f>
        <v>587.1</v>
      </c>
      <c r="F13">
        <f>IncState!F30</f>
        <v>604.71300000000008</v>
      </c>
      <c r="G13">
        <f>IncState!G30</f>
        <v>622.85439000000008</v>
      </c>
      <c r="H13">
        <f>IncState!H30</f>
        <v>641.54002170000012</v>
      </c>
      <c r="I13">
        <f>IncState!I30</f>
        <v>660.78622235100011</v>
      </c>
    </row>
    <row r="14" spans="1:16">
      <c r="B14" t="s">
        <v>125</v>
      </c>
      <c r="E14">
        <f>Assumptions!E47</f>
        <v>0</v>
      </c>
      <c r="F14">
        <f>Assumptions!F47</f>
        <v>0</v>
      </c>
      <c r="G14">
        <f>Assumptions!G47</f>
        <v>0</v>
      </c>
      <c r="H14">
        <f>Assumptions!H47</f>
        <v>0</v>
      </c>
      <c r="I14">
        <f>Assumptions!I47</f>
        <v>0</v>
      </c>
    </row>
    <row r="15" spans="1:16">
      <c r="B15" t="s">
        <v>142</v>
      </c>
      <c r="D15">
        <f>BalSheet!D26</f>
        <v>3988</v>
      </c>
      <c r="E15">
        <f>E11+E12-E13+E14</f>
        <v>3950.8420300000002</v>
      </c>
      <c r="F15">
        <f t="shared" ref="F15:I15" si="3">F11+F12-F13+F14</f>
        <v>3885.7097322759996</v>
      </c>
      <c r="G15">
        <f t="shared" si="3"/>
        <v>3797.7789759305192</v>
      </c>
      <c r="H15">
        <f t="shared" si="3"/>
        <v>3688.9278170207022</v>
      </c>
      <c r="I15">
        <f t="shared" si="3"/>
        <v>3560.6524322633068</v>
      </c>
    </row>
    <row r="16" spans="1:16">
      <c r="A16" s="2"/>
    </row>
    <row r="18" spans="1:9">
      <c r="A18" s="1" t="s">
        <v>128</v>
      </c>
      <c r="B18" s="1"/>
    </row>
    <row r="19" spans="1:9">
      <c r="B19" t="str">
        <f>BalSheet!B4</f>
        <v>Receivables</v>
      </c>
      <c r="D19">
        <f>BalSheet!D4</f>
        <v>2527</v>
      </c>
      <c r="E19">
        <f>BalSheet!E4</f>
        <v>2584.4172000000003</v>
      </c>
      <c r="F19">
        <f>BalSheet!F4</f>
        <v>2650.3068008</v>
      </c>
      <c r="G19">
        <f>BalSheet!G4</f>
        <v>2718.052694424</v>
      </c>
      <c r="H19">
        <f>BalSheet!H4</f>
        <v>2787.7126602768799</v>
      </c>
      <c r="I19">
        <f>BalSheet!I4</f>
        <v>2859.3464328990362</v>
      </c>
    </row>
    <row r="20" spans="1:9">
      <c r="B20" t="str">
        <f>BalSheet!B5</f>
        <v>Inventories</v>
      </c>
      <c r="D20">
        <f>BalSheet!D5</f>
        <v>1424</v>
      </c>
      <c r="E20">
        <f>BalSheet!E5</f>
        <v>1474.3550250000003</v>
      </c>
      <c r="F20">
        <f>BalSheet!F5</f>
        <v>1511.9436403500001</v>
      </c>
      <c r="G20">
        <f>BalSheet!G5</f>
        <v>1550.5912312605001</v>
      </c>
      <c r="H20">
        <f>BalSheet!H5</f>
        <v>1590.3307596526352</v>
      </c>
      <c r="I20">
        <f>BalSheet!I5</f>
        <v>1631.1963028107534</v>
      </c>
    </row>
    <row r="21" spans="1:9">
      <c r="B21" t="str">
        <f>BalSheet!B6</f>
        <v>Other current assets</v>
      </c>
      <c r="D21">
        <f>BalSheet!D6</f>
        <v>1191</v>
      </c>
      <c r="E21">
        <f>BalSheet!E6</f>
        <v>1223.4741000000001</v>
      </c>
      <c r="F21">
        <f>BalSheet!F6</f>
        <v>1254.6665174</v>
      </c>
      <c r="G21">
        <f>BalSheet!G6</f>
        <v>1286.7377117219999</v>
      </c>
      <c r="H21">
        <f>BalSheet!H6</f>
        <v>1319.7150359821399</v>
      </c>
      <c r="I21">
        <f>BalSheet!I6</f>
        <v>1353.6267687660329</v>
      </c>
    </row>
    <row r="22" spans="1:9">
      <c r="B22" s="1" t="s">
        <v>129</v>
      </c>
      <c r="D22" s="1">
        <f>SUM(D19:D21)</f>
        <v>5142</v>
      </c>
      <c r="E22" s="1">
        <f t="shared" ref="E22:I22" si="4">SUM(E19:E21)</f>
        <v>5282.246325000001</v>
      </c>
      <c r="F22" s="1">
        <f t="shared" si="4"/>
        <v>5416.9169585500003</v>
      </c>
      <c r="G22" s="1">
        <f t="shared" si="4"/>
        <v>5555.3816374065009</v>
      </c>
      <c r="H22" s="1">
        <f t="shared" si="4"/>
        <v>5697.7584559116549</v>
      </c>
      <c r="I22" s="1">
        <f t="shared" si="4"/>
        <v>5844.1695044758226</v>
      </c>
    </row>
    <row r="24" spans="1:9">
      <c r="B24" t="str">
        <f>BalSheet!B16</f>
        <v>Accounts payable</v>
      </c>
      <c r="D24">
        <f>BalSheet!D16</f>
        <v>3906</v>
      </c>
      <c r="E24">
        <f>BalSheet!E16</f>
        <v>4082.8293000000008</v>
      </c>
      <c r="F24">
        <f>BalSheet!F16</f>
        <v>4186.9208502000001</v>
      </c>
      <c r="G24">
        <f>BalSheet!G16</f>
        <v>4293.9449481060001</v>
      </c>
      <c r="H24">
        <f>BalSheet!H16</f>
        <v>4403.9928728842206</v>
      </c>
      <c r="I24">
        <f>BalSheet!I16</f>
        <v>4517.1589923990095</v>
      </c>
    </row>
    <row r="25" spans="1:9">
      <c r="A25" s="2"/>
      <c r="B25" t="str">
        <f>BalSheet!B17</f>
        <v>Taxes payable</v>
      </c>
      <c r="D25">
        <f>BalSheet!D17</f>
        <v>593</v>
      </c>
      <c r="E25">
        <f>BalSheet!E17</f>
        <v>235.1418800999999</v>
      </c>
      <c r="F25">
        <f>BalSheet!F17</f>
        <v>230.71162754891998</v>
      </c>
      <c r="G25">
        <f>BalSheet!G17</f>
        <v>228.72037790500829</v>
      </c>
      <c r="H25">
        <f>BalSheet!H17</f>
        <v>227.76484405968148</v>
      </c>
      <c r="I25">
        <f>BalSheet!I17</f>
        <v>227.68872480138685</v>
      </c>
    </row>
    <row r="26" spans="1:9">
      <c r="B26" t="str">
        <f>BalSheet!B18</f>
        <v>Other current liabilities</v>
      </c>
      <c r="D26">
        <f>BalSheet!D18</f>
        <v>161</v>
      </c>
      <c r="E26">
        <f>BalSheet!E18</f>
        <v>164.96280000000002</v>
      </c>
      <c r="F26">
        <f>BalSheet!F18</f>
        <v>169.16851919999999</v>
      </c>
      <c r="G26">
        <f>BalSheet!G18</f>
        <v>173.49272517599999</v>
      </c>
      <c r="H26">
        <f>BalSheet!H18</f>
        <v>177.93910597512001</v>
      </c>
      <c r="I26">
        <f>BalSheet!I18</f>
        <v>182.511474440364</v>
      </c>
    </row>
    <row r="27" spans="1:9" s="4" customFormat="1">
      <c r="B27" s="1" t="s">
        <v>130</v>
      </c>
      <c r="D27" s="1">
        <f>SUM(D24:D26)</f>
        <v>4660</v>
      </c>
      <c r="E27" s="1">
        <f t="shared" ref="E27:I27" si="5">SUM(E24:E26)</f>
        <v>4482.9339801000006</v>
      </c>
      <c r="F27" s="1">
        <f t="shared" si="5"/>
        <v>4586.8009969489194</v>
      </c>
      <c r="G27" s="1">
        <f t="shared" si="5"/>
        <v>4696.1580511870088</v>
      </c>
      <c r="H27" s="1">
        <f t="shared" si="5"/>
        <v>4809.6968229190215</v>
      </c>
      <c r="I27" s="1">
        <f t="shared" si="5"/>
        <v>4927.3591916407604</v>
      </c>
    </row>
    <row r="28" spans="1:9">
      <c r="E28" s="3"/>
      <c r="F28" s="3"/>
      <c r="G28" s="3"/>
      <c r="H28" s="3"/>
      <c r="I28" s="3"/>
    </row>
    <row r="29" spans="1:9">
      <c r="A29" s="1" t="s">
        <v>128</v>
      </c>
      <c r="B29" s="1"/>
      <c r="D29" s="1">
        <f>D22-D27</f>
        <v>482</v>
      </c>
      <c r="E29" s="1">
        <f t="shared" ref="E29:I29" si="6">E22-E27</f>
        <v>799.31234490000043</v>
      </c>
      <c r="F29" s="1">
        <f t="shared" si="6"/>
        <v>830.11596160108093</v>
      </c>
      <c r="G29" s="1">
        <f t="shared" si="6"/>
        <v>859.22358621949206</v>
      </c>
      <c r="H29" s="1">
        <f t="shared" si="6"/>
        <v>888.06163299263335</v>
      </c>
      <c r="I29" s="1">
        <f t="shared" si="6"/>
        <v>916.81031283506218</v>
      </c>
    </row>
    <row r="72" spans="1:9" s="1" customFormat="1">
      <c r="A72"/>
      <c r="B72"/>
      <c r="C72"/>
      <c r="D72"/>
      <c r="E72"/>
      <c r="F72"/>
      <c r="G72"/>
      <c r="H72"/>
      <c r="I72"/>
    </row>
    <row r="77" spans="1:9" s="1" customFormat="1">
      <c r="A77"/>
      <c r="B77"/>
      <c r="C77"/>
      <c r="D77"/>
      <c r="E77"/>
      <c r="F77"/>
      <c r="G77"/>
      <c r="H77"/>
      <c r="I77"/>
    </row>
    <row r="78" spans="1:9" s="1" customFormat="1">
      <c r="A78"/>
      <c r="B78"/>
      <c r="C78"/>
      <c r="D78"/>
      <c r="E78"/>
      <c r="F78"/>
      <c r="G78"/>
      <c r="H78"/>
      <c r="I78"/>
    </row>
    <row r="106" spans="1:9" s="1" customFormat="1">
      <c r="A106"/>
      <c r="B106"/>
      <c r="C106"/>
      <c r="D106"/>
      <c r="E106"/>
      <c r="F106"/>
      <c r="G106"/>
      <c r="H106"/>
      <c r="I106"/>
    </row>
    <row r="107" spans="1:9" s="1" customFormat="1">
      <c r="A107"/>
      <c r="B107"/>
      <c r="C107"/>
      <c r="D107"/>
      <c r="E107"/>
      <c r="F107"/>
      <c r="G107"/>
      <c r="H107"/>
      <c r="I107"/>
    </row>
    <row r="111" spans="1:9" s="1" customFormat="1">
      <c r="A111"/>
      <c r="B111"/>
      <c r="C111"/>
      <c r="D111"/>
      <c r="E111"/>
      <c r="F111"/>
      <c r="G111"/>
      <c r="H111"/>
      <c r="I111"/>
    </row>
    <row r="118" spans="1:9" s="1" customFormat="1">
      <c r="A118"/>
      <c r="B118"/>
      <c r="C118"/>
      <c r="D118"/>
      <c r="E118"/>
      <c r="F118"/>
      <c r="G118"/>
      <c r="H118"/>
      <c r="I118"/>
    </row>
    <row r="122" spans="1:9" s="1" customFormat="1">
      <c r="A122"/>
      <c r="B122"/>
      <c r="C122"/>
      <c r="D122"/>
      <c r="E122"/>
      <c r="F122"/>
      <c r="G122"/>
      <c r="H122"/>
      <c r="I122"/>
    </row>
    <row r="125" spans="1:9" s="1" customFormat="1">
      <c r="A125"/>
      <c r="B125"/>
      <c r="C125"/>
      <c r="D125"/>
      <c r="E125"/>
      <c r="F125"/>
      <c r="G125"/>
      <c r="H125"/>
      <c r="I125"/>
    </row>
    <row r="128" spans="1:9" s="1" customFormat="1">
      <c r="A128"/>
      <c r="B128"/>
      <c r="C128"/>
      <c r="D128"/>
      <c r="E128"/>
      <c r="F128"/>
      <c r="G128"/>
      <c r="H128"/>
      <c r="I128"/>
    </row>
    <row r="129" spans="1:9" s="1" customFormat="1">
      <c r="A129"/>
      <c r="B129"/>
      <c r="C129"/>
      <c r="D129"/>
      <c r="E129"/>
      <c r="F129"/>
      <c r="G129"/>
      <c r="H129"/>
      <c r="I129"/>
    </row>
    <row r="130" spans="1:9" s="4" customFormat="1">
      <c r="A130"/>
      <c r="B130"/>
      <c r="C130"/>
      <c r="D130"/>
      <c r="E130"/>
      <c r="F130"/>
      <c r="G130"/>
      <c r="H130"/>
      <c r="I130"/>
    </row>
    <row r="132" spans="1:9" s="4" customFormat="1">
      <c r="A132"/>
      <c r="B132"/>
      <c r="C132"/>
      <c r="D132"/>
      <c r="E132"/>
      <c r="F132"/>
      <c r="G132"/>
      <c r="H132"/>
      <c r="I132"/>
    </row>
    <row r="133" spans="1:9" s="4" customFormat="1">
      <c r="A133"/>
      <c r="B133"/>
      <c r="C133"/>
      <c r="D133"/>
      <c r="E133"/>
      <c r="F133"/>
      <c r="G133"/>
      <c r="H133"/>
      <c r="I133"/>
    </row>
    <row r="134" spans="1:9" s="4" customFormat="1">
      <c r="A134"/>
      <c r="B134"/>
      <c r="C134"/>
      <c r="D134"/>
      <c r="E134"/>
      <c r="F134"/>
      <c r="G134"/>
      <c r="H134"/>
      <c r="I134"/>
    </row>
    <row r="149" spans="1:9" s="1" customFormat="1">
      <c r="A149"/>
      <c r="B149"/>
      <c r="C149"/>
      <c r="D149"/>
      <c r="E149"/>
      <c r="F149"/>
      <c r="G149"/>
      <c r="H149"/>
      <c r="I149"/>
    </row>
    <row r="156" spans="1:9" s="1" customFormat="1">
      <c r="A156"/>
      <c r="B156"/>
      <c r="C156"/>
      <c r="D156"/>
      <c r="E156"/>
      <c r="F156"/>
      <c r="G156"/>
      <c r="H156"/>
      <c r="I156"/>
    </row>
    <row r="164" spans="1:9" s="1" customFormat="1">
      <c r="A164"/>
      <c r="B164"/>
      <c r="C164"/>
      <c r="D164"/>
      <c r="E164"/>
      <c r="F164"/>
      <c r="G164"/>
      <c r="H164"/>
      <c r="I164"/>
    </row>
    <row r="170" spans="1:9" s="1" customFormat="1">
      <c r="A170"/>
      <c r="B170"/>
      <c r="C170"/>
      <c r="D170"/>
      <c r="E170"/>
      <c r="F170"/>
      <c r="G170"/>
      <c r="H170"/>
      <c r="I170"/>
    </row>
    <row r="178" spans="1:9" s="1" customFormat="1">
      <c r="A178"/>
      <c r="B178"/>
      <c r="C178"/>
      <c r="D178"/>
      <c r="E178"/>
      <c r="F178"/>
      <c r="G178"/>
      <c r="H178"/>
      <c r="I178"/>
    </row>
    <row r="180" spans="1:9" s="1" customFormat="1">
      <c r="A180"/>
      <c r="B180"/>
      <c r="C180"/>
      <c r="D180"/>
      <c r="E180"/>
      <c r="F180"/>
      <c r="G180"/>
      <c r="H180"/>
      <c r="I180"/>
    </row>
    <row r="182" spans="1:9" s="5" customFormat="1">
      <c r="A182"/>
      <c r="B182"/>
      <c r="C182"/>
      <c r="D182"/>
      <c r="E182"/>
      <c r="F182"/>
      <c r="G182"/>
      <c r="H182"/>
      <c r="I182"/>
    </row>
    <row r="193" spans="1:9" s="1" customFormat="1">
      <c r="A193"/>
      <c r="B193"/>
      <c r="C193"/>
      <c r="D193"/>
      <c r="E193"/>
      <c r="F193"/>
      <c r="G193"/>
      <c r="H193"/>
      <c r="I193"/>
    </row>
    <row r="205" spans="1:9" s="1" customFormat="1">
      <c r="A205"/>
      <c r="B205"/>
      <c r="C205"/>
      <c r="D205"/>
      <c r="E205"/>
      <c r="F205"/>
      <c r="G205"/>
      <c r="H205"/>
      <c r="I205"/>
    </row>
    <row r="207" spans="1:9" s="1" customFormat="1">
      <c r="A207"/>
      <c r="B207"/>
      <c r="C207"/>
      <c r="D207"/>
      <c r="E207"/>
      <c r="F207"/>
      <c r="G207"/>
      <c r="H207"/>
      <c r="I207"/>
    </row>
    <row r="209" spans="1:9" s="4" customFormat="1">
      <c r="A209"/>
      <c r="B209"/>
      <c r="C209"/>
      <c r="D209"/>
      <c r="E209"/>
      <c r="F209"/>
      <c r="G209"/>
      <c r="H209"/>
      <c r="I209"/>
    </row>
  </sheetData>
  <phoneticPr fontId="0" type="noConversion"/>
  <pageMargins left="0.75" right="0.75" top="1" bottom="1" header="0.5" footer="0.5"/>
  <pageSetup scale="79" orientation="landscape" horizontalDpi="4294967292"/>
  <headerFooter alignWithMargins="0">
    <oddHeader>&amp;L&amp;8&amp;F &amp;A</oddHeader>
    <oddFooter>&amp;L&amp;8© Adkins Matchett &amp; Toy 2010&amp;R&amp;8&amp;P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9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/>
    </sheetView>
  </sheetViews>
  <sheetFormatPr baseColWidth="10" defaultColWidth="8.83203125" defaultRowHeight="12" x14ac:dyDescent="0"/>
  <cols>
    <col min="1" max="1" width="1.6640625" style="7" customWidth="1"/>
    <col min="2" max="2" width="55.6640625" style="7" customWidth="1"/>
    <col min="3" max="9" width="10" style="7" customWidth="1"/>
    <col min="10" max="16384" width="8.83203125" style="7"/>
  </cols>
  <sheetData>
    <row r="1" spans="1:16" s="1" customFormat="1" ht="23.25" customHeight="1">
      <c r="A1" s="41"/>
      <c r="B1" s="41"/>
      <c r="C1" s="41" t="s">
        <v>0</v>
      </c>
      <c r="D1" s="41" t="s">
        <v>0</v>
      </c>
      <c r="E1" s="41" t="s">
        <v>1</v>
      </c>
      <c r="F1" s="41" t="s">
        <v>1</v>
      </c>
      <c r="G1" s="41" t="s">
        <v>1</v>
      </c>
      <c r="H1" s="41" t="s">
        <v>1</v>
      </c>
      <c r="I1" s="41" t="s">
        <v>1</v>
      </c>
      <c r="J1" s="41"/>
      <c r="K1" s="41"/>
      <c r="L1" s="41"/>
      <c r="M1" s="41"/>
      <c r="N1" s="41"/>
      <c r="O1" s="41"/>
      <c r="P1" s="41"/>
    </row>
    <row r="2" spans="1:16" s="44" customFormat="1" ht="19.5" customHeight="1">
      <c r="A2" s="42" t="s">
        <v>36</v>
      </c>
      <c r="B2" s="43"/>
      <c r="C2" s="41" t="s">
        <v>92</v>
      </c>
      <c r="D2" s="41" t="s">
        <v>93</v>
      </c>
      <c r="E2" s="41" t="s">
        <v>94</v>
      </c>
      <c r="F2" s="41" t="s">
        <v>95</v>
      </c>
      <c r="G2" s="41" t="s">
        <v>96</v>
      </c>
      <c r="H2" s="41" t="s">
        <v>97</v>
      </c>
      <c r="I2" s="41" t="s">
        <v>98</v>
      </c>
      <c r="J2" s="43"/>
      <c r="K2" s="45" t="s">
        <v>172</v>
      </c>
      <c r="L2" s="43"/>
      <c r="M2" s="43"/>
      <c r="N2" s="43"/>
      <c r="O2" s="43"/>
      <c r="P2" s="43"/>
    </row>
    <row r="3" spans="1:16">
      <c r="A3" s="11" t="s">
        <v>101</v>
      </c>
    </row>
    <row r="5" spans="1:16">
      <c r="B5" s="7" t="s">
        <v>102</v>
      </c>
      <c r="E5" s="7">
        <f>BalSheet!D3</f>
        <v>457</v>
      </c>
      <c r="F5" s="7">
        <f>BalSheet!E3</f>
        <v>0</v>
      </c>
      <c r="G5" s="7">
        <f>BalSheet!F3</f>
        <v>0</v>
      </c>
      <c r="H5" s="7">
        <f>BalSheet!G3</f>
        <v>0</v>
      </c>
      <c r="I5" s="7">
        <f>BalSheet!H3</f>
        <v>0</v>
      </c>
      <c r="K5" s="7" t="s">
        <v>150</v>
      </c>
    </row>
    <row r="6" spans="1:16">
      <c r="B6" s="7" t="s">
        <v>99</v>
      </c>
      <c r="E6" s="7">
        <f>CashFlow!E26</f>
        <v>-557.8477149000006</v>
      </c>
      <c r="F6" s="7">
        <f>CashFlow!F26</f>
        <v>-253.7018596250806</v>
      </c>
      <c r="G6" s="7">
        <f>CashFlow!G26</f>
        <v>-257.13525438389195</v>
      </c>
      <c r="H6" s="7">
        <f>CashFlow!H26</f>
        <v>-263.01705966410191</v>
      </c>
      <c r="I6" s="7">
        <f>CashFlow!I26</f>
        <v>-270.1108209663023</v>
      </c>
      <c r="K6" s="7" t="s">
        <v>150</v>
      </c>
    </row>
    <row r="7" spans="1:16" s="14" customFormat="1">
      <c r="B7" s="14" t="s">
        <v>101</v>
      </c>
      <c r="E7" s="14">
        <f>SUM(E5:E6)</f>
        <v>-100.8477149000006</v>
      </c>
      <c r="F7" s="14">
        <f t="shared" ref="F7:I7" si="0">SUM(F5:F6)</f>
        <v>-253.7018596250806</v>
      </c>
      <c r="G7" s="14">
        <f t="shared" si="0"/>
        <v>-257.13525438389195</v>
      </c>
      <c r="H7" s="14">
        <f t="shared" si="0"/>
        <v>-263.01705966410191</v>
      </c>
      <c r="I7" s="14">
        <f t="shared" si="0"/>
        <v>-270.1108209663023</v>
      </c>
      <c r="K7" s="15" t="s">
        <v>150</v>
      </c>
    </row>
    <row r="8" spans="1:16" s="15" customFormat="1">
      <c r="B8" s="15" t="s">
        <v>146</v>
      </c>
      <c r="E8" s="15">
        <f>E25+E35+E45</f>
        <v>-250</v>
      </c>
      <c r="F8" s="15">
        <f t="shared" ref="F8:I8" si="1">F25+F35+F45</f>
        <v>-250</v>
      </c>
      <c r="G8" s="15">
        <f t="shared" si="1"/>
        <v>-250</v>
      </c>
      <c r="H8" s="15">
        <f t="shared" si="1"/>
        <v>-250</v>
      </c>
      <c r="I8" s="15">
        <f t="shared" si="1"/>
        <v>-250</v>
      </c>
      <c r="K8" s="15" t="s">
        <v>166</v>
      </c>
    </row>
    <row r="9" spans="1:16" s="14" customFormat="1">
      <c r="B9" s="14" t="s">
        <v>147</v>
      </c>
      <c r="E9" s="14">
        <f t="shared" ref="E9:I9" si="2">E7+E8</f>
        <v>-350.8477149000006</v>
      </c>
      <c r="F9" s="14">
        <f t="shared" si="2"/>
        <v>-503.7018596250806</v>
      </c>
      <c r="G9" s="14">
        <f t="shared" si="2"/>
        <v>-507.13525438389195</v>
      </c>
      <c r="H9" s="14">
        <f t="shared" si="2"/>
        <v>-513.01705966410191</v>
      </c>
      <c r="I9" s="14">
        <f t="shared" si="2"/>
        <v>-520.1108209663023</v>
      </c>
      <c r="K9" s="15" t="s">
        <v>150</v>
      </c>
    </row>
    <row r="11" spans="1:16">
      <c r="A11" s="11" t="s">
        <v>33</v>
      </c>
    </row>
    <row r="13" spans="1:16">
      <c r="B13" s="7" t="s">
        <v>29</v>
      </c>
      <c r="E13" s="7">
        <f>D15</f>
        <v>500</v>
      </c>
      <c r="F13" s="7">
        <f t="shared" ref="F13:I13" si="3">E15</f>
        <v>850.8477149000006</v>
      </c>
      <c r="G13" s="7">
        <f t="shared" si="3"/>
        <v>1354.5495745250812</v>
      </c>
      <c r="H13" s="7">
        <f t="shared" si="3"/>
        <v>1861.684828908973</v>
      </c>
      <c r="I13" s="7">
        <f t="shared" si="3"/>
        <v>2374.7018885730749</v>
      </c>
      <c r="K13" s="7" t="s">
        <v>150</v>
      </c>
    </row>
    <row r="14" spans="1:16">
      <c r="B14" s="7" t="s">
        <v>103</v>
      </c>
      <c r="E14" s="7">
        <f>-MIN(E13,E9)</f>
        <v>350.8477149000006</v>
      </c>
      <c r="F14" s="7">
        <f t="shared" ref="F14:I14" si="4">-MIN(F13,F9)</f>
        <v>503.7018596250806</v>
      </c>
      <c r="G14" s="7">
        <f t="shared" si="4"/>
        <v>507.13525438389195</v>
      </c>
      <c r="H14" s="7">
        <f t="shared" si="4"/>
        <v>513.01705966410191</v>
      </c>
      <c r="I14" s="7">
        <f t="shared" si="4"/>
        <v>520.1108209663023</v>
      </c>
      <c r="K14" s="7" t="s">
        <v>150</v>
      </c>
    </row>
    <row r="15" spans="1:16">
      <c r="B15" s="7" t="s">
        <v>30</v>
      </c>
      <c r="D15" s="7">
        <f>BalSheet!D15</f>
        <v>500</v>
      </c>
      <c r="E15" s="7">
        <f>SUM(E13:E14)</f>
        <v>850.8477149000006</v>
      </c>
      <c r="F15" s="7">
        <f t="shared" ref="F15:I15" si="5">SUM(F13:F14)</f>
        <v>1354.5495745250812</v>
      </c>
      <c r="G15" s="7">
        <f t="shared" si="5"/>
        <v>1861.684828908973</v>
      </c>
      <c r="H15" s="7">
        <f t="shared" si="5"/>
        <v>2374.7018885730749</v>
      </c>
      <c r="I15" s="7">
        <f t="shared" si="5"/>
        <v>2894.8127095393775</v>
      </c>
      <c r="K15" s="7" t="s">
        <v>150</v>
      </c>
    </row>
    <row r="16" spans="1:16">
      <c r="B16" s="7" t="s">
        <v>31</v>
      </c>
      <c r="E16" s="13">
        <f>Assumptions!E39</f>
        <v>0.06</v>
      </c>
      <c r="F16" s="13">
        <f>Assumptions!F39</f>
        <v>0.06</v>
      </c>
      <c r="G16" s="13">
        <f>Assumptions!G39</f>
        <v>0.06</v>
      </c>
      <c r="H16" s="13">
        <f>Assumptions!H39</f>
        <v>0.06</v>
      </c>
      <c r="I16" s="13">
        <f>Assumptions!I39</f>
        <v>0.06</v>
      </c>
      <c r="K16" s="7" t="s">
        <v>150</v>
      </c>
    </row>
    <row r="17" spans="1:11">
      <c r="B17" s="7" t="s">
        <v>58</v>
      </c>
      <c r="E17" s="7">
        <f>E16*AVERAGE(D15:E15)</f>
        <v>40.52543144700001</v>
      </c>
      <c r="F17" s="7">
        <f t="shared" ref="F17:I17" si="6">F16*AVERAGE(E15:F15)</f>
        <v>66.161918682752457</v>
      </c>
      <c r="G17" s="7">
        <f t="shared" si="6"/>
        <v>96.487032103021619</v>
      </c>
      <c r="H17" s="7">
        <f t="shared" si="6"/>
        <v>127.09160152446144</v>
      </c>
      <c r="I17" s="7">
        <f t="shared" si="6"/>
        <v>158.08543794337356</v>
      </c>
      <c r="K17" s="7" t="s">
        <v>150</v>
      </c>
    </row>
    <row r="19" spans="1:11">
      <c r="B19" s="7" t="s">
        <v>108</v>
      </c>
      <c r="E19" s="7">
        <f>E9+E14</f>
        <v>0</v>
      </c>
      <c r="F19" s="7">
        <f t="shared" ref="F19:I19" si="7">F9+F14</f>
        <v>0</v>
      </c>
      <c r="G19" s="7">
        <f t="shared" si="7"/>
        <v>0</v>
      </c>
      <c r="H19" s="7">
        <f t="shared" si="7"/>
        <v>0</v>
      </c>
      <c r="I19" s="7">
        <f t="shared" si="7"/>
        <v>0</v>
      </c>
      <c r="K19" s="7" t="s">
        <v>150</v>
      </c>
    </row>
    <row r="21" spans="1:11">
      <c r="A21" s="11" t="s">
        <v>14</v>
      </c>
    </row>
    <row r="23" spans="1:11">
      <c r="B23" s="7" t="s">
        <v>104</v>
      </c>
    </row>
    <row r="24" spans="1:11">
      <c r="B24" s="7" t="s">
        <v>29</v>
      </c>
      <c r="E24" s="7">
        <f>D27</f>
        <v>1000</v>
      </c>
      <c r="F24" s="7">
        <f t="shared" ref="F24:I24" si="8">E27</f>
        <v>800</v>
      </c>
      <c r="G24" s="7">
        <f t="shared" si="8"/>
        <v>600</v>
      </c>
      <c r="H24" s="7">
        <f t="shared" si="8"/>
        <v>400</v>
      </c>
      <c r="I24" s="7">
        <f t="shared" si="8"/>
        <v>200</v>
      </c>
      <c r="K24" s="7" t="s">
        <v>150</v>
      </c>
    </row>
    <row r="25" spans="1:11">
      <c r="B25" s="7" t="s">
        <v>148</v>
      </c>
      <c r="E25" s="7">
        <f>-MIN(Assumptions!E43,E24)</f>
        <v>-200</v>
      </c>
      <c r="F25" s="7">
        <f>-MIN(Assumptions!F43,F24)</f>
        <v>-200</v>
      </c>
      <c r="G25" s="7">
        <f>-MIN(Assumptions!G43,G24)</f>
        <v>-200</v>
      </c>
      <c r="H25" s="7">
        <f>-MIN(Assumptions!H43,H24)</f>
        <v>-200</v>
      </c>
      <c r="I25" s="7">
        <f>-MIN(Assumptions!I43,I24)</f>
        <v>-200</v>
      </c>
      <c r="K25" s="7" t="s">
        <v>173</v>
      </c>
    </row>
    <row r="26" spans="1:11">
      <c r="B26" s="7" t="s">
        <v>149</v>
      </c>
      <c r="E26" s="7">
        <f>-MIN((E24+E25),E19)</f>
        <v>0</v>
      </c>
      <c r="F26" s="7">
        <f t="shared" ref="F26:I26" si="9">-MIN((F24+F25),F19)</f>
        <v>0</v>
      </c>
      <c r="G26" s="7">
        <f t="shared" si="9"/>
        <v>0</v>
      </c>
      <c r="H26" s="7">
        <f t="shared" si="9"/>
        <v>0</v>
      </c>
      <c r="I26" s="7">
        <f t="shared" si="9"/>
        <v>0</v>
      </c>
      <c r="K26" s="7" t="s">
        <v>174</v>
      </c>
    </row>
    <row r="27" spans="1:11">
      <c r="B27" s="7" t="s">
        <v>30</v>
      </c>
      <c r="D27" s="30">
        <v>1000</v>
      </c>
      <c r="E27" s="7">
        <f>SUM(E24:E26)</f>
        <v>800</v>
      </c>
      <c r="F27" s="7">
        <f t="shared" ref="F27:I27" si="10">SUM(F24:F26)</f>
        <v>600</v>
      </c>
      <c r="G27" s="7">
        <f t="shared" si="10"/>
        <v>400</v>
      </c>
      <c r="H27" s="7">
        <f t="shared" si="10"/>
        <v>200</v>
      </c>
      <c r="I27" s="7">
        <f t="shared" si="10"/>
        <v>0</v>
      </c>
      <c r="K27" s="7" t="s">
        <v>150</v>
      </c>
    </row>
    <row r="28" spans="1:11">
      <c r="B28" s="7" t="s">
        <v>31</v>
      </c>
      <c r="E28" s="13">
        <f>Assumptions!E40</f>
        <v>0.06</v>
      </c>
      <c r="F28" s="13">
        <f>Assumptions!F40</f>
        <v>0.06</v>
      </c>
      <c r="G28" s="13">
        <f>Assumptions!G40</f>
        <v>0.06</v>
      </c>
      <c r="H28" s="13">
        <f>Assumptions!H40</f>
        <v>0.06</v>
      </c>
      <c r="I28" s="13">
        <f>Assumptions!I40</f>
        <v>0.06</v>
      </c>
      <c r="K28" s="7" t="s">
        <v>150</v>
      </c>
    </row>
    <row r="29" spans="1:11">
      <c r="B29" s="7" t="s">
        <v>58</v>
      </c>
      <c r="E29" s="7">
        <f>E28*AVERAGE(D27:E27)</f>
        <v>54</v>
      </c>
      <c r="F29" s="7">
        <f t="shared" ref="F29:I29" si="11">F28*AVERAGE(E27:F27)</f>
        <v>42</v>
      </c>
      <c r="G29" s="7">
        <f t="shared" si="11"/>
        <v>30</v>
      </c>
      <c r="H29" s="7">
        <f t="shared" si="11"/>
        <v>18</v>
      </c>
      <c r="I29" s="7">
        <f t="shared" si="11"/>
        <v>6</v>
      </c>
      <c r="K29" s="7" t="s">
        <v>150</v>
      </c>
    </row>
    <row r="31" spans="1:11">
      <c r="B31" s="7" t="s">
        <v>107</v>
      </c>
      <c r="E31" s="7">
        <f>E19+E26</f>
        <v>0</v>
      </c>
      <c r="F31" s="7">
        <f t="shared" ref="F31:I31" si="12">F19+F26</f>
        <v>0</v>
      </c>
      <c r="G31" s="7">
        <f t="shared" si="12"/>
        <v>0</v>
      </c>
      <c r="H31" s="7">
        <f t="shared" si="12"/>
        <v>0</v>
      </c>
      <c r="I31" s="7">
        <f t="shared" si="12"/>
        <v>0</v>
      </c>
      <c r="K31" s="7" t="s">
        <v>150</v>
      </c>
    </row>
    <row r="33" spans="2:11">
      <c r="B33" s="7" t="s">
        <v>105</v>
      </c>
    </row>
    <row r="34" spans="2:11">
      <c r="B34" s="7" t="s">
        <v>29</v>
      </c>
      <c r="E34" s="7">
        <f>D37</f>
        <v>500</v>
      </c>
      <c r="F34" s="7">
        <f t="shared" ref="F34:I34" si="13">E37</f>
        <v>450</v>
      </c>
      <c r="G34" s="7">
        <f t="shared" si="13"/>
        <v>400</v>
      </c>
      <c r="H34" s="7">
        <f t="shared" si="13"/>
        <v>350</v>
      </c>
      <c r="I34" s="7">
        <f t="shared" si="13"/>
        <v>300</v>
      </c>
      <c r="K34" s="7" t="s">
        <v>150</v>
      </c>
    </row>
    <row r="35" spans="2:11">
      <c r="B35" s="7" t="s">
        <v>148</v>
      </c>
      <c r="E35" s="7">
        <f>-MIN(Assumptions!E44,E34)</f>
        <v>-50</v>
      </c>
      <c r="F35" s="7">
        <f>-MIN(Assumptions!F44,F34)</f>
        <v>-50</v>
      </c>
      <c r="G35" s="7">
        <f>-MIN(Assumptions!G44,G34)</f>
        <v>-50</v>
      </c>
      <c r="H35" s="7">
        <f>-MIN(Assumptions!H44,H34)</f>
        <v>-50</v>
      </c>
      <c r="I35" s="7">
        <f>-MIN(Assumptions!I44,I34)</f>
        <v>-50</v>
      </c>
      <c r="K35" s="7" t="s">
        <v>173</v>
      </c>
    </row>
    <row r="36" spans="2:11">
      <c r="B36" s="7" t="s">
        <v>149</v>
      </c>
      <c r="E36" s="7">
        <f t="shared" ref="E36:I36" si="14">-MIN((E34+E35),E31)</f>
        <v>0</v>
      </c>
      <c r="F36" s="7">
        <f t="shared" si="14"/>
        <v>0</v>
      </c>
      <c r="G36" s="7">
        <f t="shared" si="14"/>
        <v>0</v>
      </c>
      <c r="H36" s="7">
        <f t="shared" si="14"/>
        <v>0</v>
      </c>
      <c r="I36" s="7">
        <f t="shared" si="14"/>
        <v>0</v>
      </c>
      <c r="K36" s="7" t="s">
        <v>174</v>
      </c>
    </row>
    <row r="37" spans="2:11">
      <c r="B37" s="7" t="s">
        <v>30</v>
      </c>
      <c r="D37" s="30">
        <v>500</v>
      </c>
      <c r="E37" s="7">
        <f>SUM(E34:E36)</f>
        <v>450</v>
      </c>
      <c r="F37" s="7">
        <f t="shared" ref="F37:I37" si="15">SUM(F34:F36)</f>
        <v>400</v>
      </c>
      <c r="G37" s="7">
        <f t="shared" si="15"/>
        <v>350</v>
      </c>
      <c r="H37" s="7">
        <f t="shared" si="15"/>
        <v>300</v>
      </c>
      <c r="I37" s="7">
        <f t="shared" si="15"/>
        <v>250</v>
      </c>
      <c r="K37" s="7" t="s">
        <v>150</v>
      </c>
    </row>
    <row r="38" spans="2:11">
      <c r="B38" s="7" t="s">
        <v>31</v>
      </c>
      <c r="E38" s="13">
        <f>Assumptions!E41</f>
        <v>6.5000000000000002E-2</v>
      </c>
      <c r="F38" s="13">
        <f>Assumptions!F41</f>
        <v>6.5000000000000002E-2</v>
      </c>
      <c r="G38" s="13">
        <f>Assumptions!G41</f>
        <v>6.5000000000000002E-2</v>
      </c>
      <c r="H38" s="13">
        <f>Assumptions!H41</f>
        <v>6.5000000000000002E-2</v>
      </c>
      <c r="I38" s="13">
        <f>Assumptions!I41</f>
        <v>6.5000000000000002E-2</v>
      </c>
      <c r="K38" s="7" t="s">
        <v>150</v>
      </c>
    </row>
    <row r="39" spans="2:11">
      <c r="B39" s="7" t="s">
        <v>58</v>
      </c>
      <c r="E39" s="7">
        <f>E38*AVERAGE(D37:E37)</f>
        <v>30.875</v>
      </c>
      <c r="F39" s="7">
        <f t="shared" ref="F39:I39" si="16">F38*AVERAGE(E37:F37)</f>
        <v>27.625</v>
      </c>
      <c r="G39" s="7">
        <f t="shared" si="16"/>
        <v>24.375</v>
      </c>
      <c r="H39" s="7">
        <f t="shared" si="16"/>
        <v>21.125</v>
      </c>
      <c r="I39" s="7">
        <f t="shared" si="16"/>
        <v>17.875</v>
      </c>
      <c r="K39" s="7" t="s">
        <v>150</v>
      </c>
    </row>
    <row r="41" spans="2:11">
      <c r="B41" s="7" t="s">
        <v>109</v>
      </c>
      <c r="E41" s="7">
        <f>E31+E36</f>
        <v>0</v>
      </c>
      <c r="F41" s="7">
        <f t="shared" ref="F41:I41" si="17">F31+F36</f>
        <v>0</v>
      </c>
      <c r="G41" s="7">
        <f t="shared" si="17"/>
        <v>0</v>
      </c>
      <c r="H41" s="7">
        <f t="shared" si="17"/>
        <v>0</v>
      </c>
      <c r="I41" s="7">
        <f t="shared" si="17"/>
        <v>0</v>
      </c>
      <c r="K41" s="7" t="s">
        <v>150</v>
      </c>
    </row>
    <row r="43" spans="2:11">
      <c r="B43" s="7" t="s">
        <v>106</v>
      </c>
    </row>
    <row r="44" spans="2:11">
      <c r="B44" s="7" t="s">
        <v>29</v>
      </c>
      <c r="E44" s="7">
        <f>D47</f>
        <v>22</v>
      </c>
      <c r="F44" s="7">
        <f t="shared" ref="F44:I44" si="18">E47</f>
        <v>22</v>
      </c>
      <c r="G44" s="7">
        <f t="shared" si="18"/>
        <v>22</v>
      </c>
      <c r="H44" s="7">
        <f t="shared" si="18"/>
        <v>22</v>
      </c>
      <c r="I44" s="7">
        <f t="shared" si="18"/>
        <v>22</v>
      </c>
      <c r="K44" s="7" t="s">
        <v>150</v>
      </c>
    </row>
    <row r="45" spans="2:11">
      <c r="B45" s="7" t="s">
        <v>148</v>
      </c>
      <c r="E45" s="7">
        <f>-MIN(Assumptions!E45,E44)</f>
        <v>0</v>
      </c>
      <c r="F45" s="7">
        <f>-MIN(Assumptions!F45,F44)</f>
        <v>0</v>
      </c>
      <c r="G45" s="7">
        <f>-MIN(Assumptions!G45,G44)</f>
        <v>0</v>
      </c>
      <c r="H45" s="7">
        <f>-MIN(Assumptions!H45,H44)</f>
        <v>0</v>
      </c>
      <c r="I45" s="7">
        <f>-MIN(Assumptions!I45,I44)</f>
        <v>0</v>
      </c>
      <c r="K45" s="7" t="s">
        <v>173</v>
      </c>
    </row>
    <row r="46" spans="2:11">
      <c r="B46" s="7" t="s">
        <v>149</v>
      </c>
      <c r="E46" s="7">
        <f>-MIN((E44+E45),E41)</f>
        <v>0</v>
      </c>
      <c r="F46" s="7">
        <f t="shared" ref="F46" si="19">-MIN((F44+F45),F41)</f>
        <v>0</v>
      </c>
      <c r="G46" s="7">
        <f t="shared" ref="G46" si="20">-MIN((G44+G45),G41)</f>
        <v>0</v>
      </c>
      <c r="H46" s="7">
        <f t="shared" ref="H46" si="21">-MIN((H44+H45),H41)</f>
        <v>0</v>
      </c>
      <c r="I46" s="7">
        <f t="shared" ref="I46" si="22">-MIN((I44+I45),I41)</f>
        <v>0</v>
      </c>
      <c r="K46" s="7" t="s">
        <v>174</v>
      </c>
    </row>
    <row r="47" spans="2:11">
      <c r="B47" s="7" t="s">
        <v>30</v>
      </c>
      <c r="D47" s="30">
        <v>22</v>
      </c>
      <c r="E47" s="7">
        <f>SUM(E44:E46)</f>
        <v>22</v>
      </c>
      <c r="F47" s="7">
        <f t="shared" ref="F47:I47" si="23">SUM(F44:F46)</f>
        <v>22</v>
      </c>
      <c r="G47" s="7">
        <f t="shared" si="23"/>
        <v>22</v>
      </c>
      <c r="H47" s="7">
        <f t="shared" si="23"/>
        <v>22</v>
      </c>
      <c r="I47" s="7">
        <f t="shared" si="23"/>
        <v>22</v>
      </c>
      <c r="K47" s="7" t="s">
        <v>150</v>
      </c>
    </row>
    <row r="48" spans="2:11">
      <c r="B48" s="7" t="s">
        <v>31</v>
      </c>
      <c r="E48" s="13">
        <f>Assumptions!E42</f>
        <v>0.12</v>
      </c>
      <c r="F48" s="13">
        <f>Assumptions!F42</f>
        <v>0.12</v>
      </c>
      <c r="G48" s="13">
        <f>Assumptions!G42</f>
        <v>0.12</v>
      </c>
      <c r="H48" s="13">
        <f>Assumptions!H42</f>
        <v>0.12</v>
      </c>
      <c r="I48" s="13">
        <f>Assumptions!I42</f>
        <v>0.12</v>
      </c>
      <c r="K48" s="7" t="s">
        <v>150</v>
      </c>
    </row>
    <row r="49" spans="1:11">
      <c r="B49" s="7" t="s">
        <v>58</v>
      </c>
      <c r="E49" s="7">
        <f>E48*AVERAGE(D47:E47)</f>
        <v>2.6399999999999997</v>
      </c>
      <c r="F49" s="7">
        <f t="shared" ref="F49:I49" si="24">F48*AVERAGE(E47:F47)</f>
        <v>2.6399999999999997</v>
      </c>
      <c r="G49" s="7">
        <f t="shared" si="24"/>
        <v>2.6399999999999997</v>
      </c>
      <c r="H49" s="7">
        <f t="shared" si="24"/>
        <v>2.6399999999999997</v>
      </c>
      <c r="I49" s="7">
        <f t="shared" si="24"/>
        <v>2.6399999999999997</v>
      </c>
      <c r="K49" s="7" t="s">
        <v>150</v>
      </c>
    </row>
    <row r="51" spans="1:11">
      <c r="A51" s="11" t="s">
        <v>44</v>
      </c>
    </row>
    <row r="53" spans="1:11">
      <c r="B53" s="7" t="s">
        <v>33</v>
      </c>
      <c r="D53" s="7">
        <f>D15</f>
        <v>500</v>
      </c>
      <c r="E53" s="7">
        <f>E15</f>
        <v>850.8477149000006</v>
      </c>
      <c r="F53" s="7">
        <f t="shared" ref="F53:I53" si="25">F15</f>
        <v>1354.5495745250812</v>
      </c>
      <c r="G53" s="7">
        <f t="shared" si="25"/>
        <v>1861.684828908973</v>
      </c>
      <c r="H53" s="7">
        <f t="shared" si="25"/>
        <v>2374.7018885730749</v>
      </c>
      <c r="I53" s="7">
        <f t="shared" si="25"/>
        <v>2894.8127095393775</v>
      </c>
      <c r="K53" s="7" t="s">
        <v>150</v>
      </c>
    </row>
    <row r="54" spans="1:11">
      <c r="B54" s="7" t="s">
        <v>104</v>
      </c>
      <c r="D54" s="7">
        <f>D27</f>
        <v>1000</v>
      </c>
      <c r="E54" s="7">
        <f>E27</f>
        <v>800</v>
      </c>
      <c r="F54" s="7">
        <f t="shared" ref="F54:I54" si="26">F27</f>
        <v>600</v>
      </c>
      <c r="G54" s="7">
        <f t="shared" si="26"/>
        <v>400</v>
      </c>
      <c r="H54" s="7">
        <f t="shared" si="26"/>
        <v>200</v>
      </c>
      <c r="I54" s="7">
        <f t="shared" si="26"/>
        <v>0</v>
      </c>
      <c r="K54" s="7" t="s">
        <v>150</v>
      </c>
    </row>
    <row r="55" spans="1:11">
      <c r="B55" s="7" t="s">
        <v>105</v>
      </c>
      <c r="D55" s="7">
        <f>D37</f>
        <v>500</v>
      </c>
      <c r="E55" s="7">
        <f>E37</f>
        <v>450</v>
      </c>
      <c r="F55" s="7">
        <f t="shared" ref="F55:I55" si="27">F37</f>
        <v>400</v>
      </c>
      <c r="G55" s="7">
        <f t="shared" si="27"/>
        <v>350</v>
      </c>
      <c r="H55" s="7">
        <f t="shared" si="27"/>
        <v>300</v>
      </c>
      <c r="I55" s="7">
        <f t="shared" si="27"/>
        <v>250</v>
      </c>
      <c r="K55" s="7" t="s">
        <v>150</v>
      </c>
    </row>
    <row r="56" spans="1:11">
      <c r="B56" s="7" t="s">
        <v>106</v>
      </c>
      <c r="D56" s="7">
        <f>D47</f>
        <v>22</v>
      </c>
      <c r="E56" s="7">
        <f>E47</f>
        <v>22</v>
      </c>
      <c r="F56" s="7">
        <f t="shared" ref="F56:I56" si="28">F47</f>
        <v>22</v>
      </c>
      <c r="G56" s="7">
        <f t="shared" si="28"/>
        <v>22</v>
      </c>
      <c r="H56" s="7">
        <f t="shared" si="28"/>
        <v>22</v>
      </c>
      <c r="I56" s="7">
        <f t="shared" si="28"/>
        <v>22</v>
      </c>
      <c r="K56" s="7" t="s">
        <v>150</v>
      </c>
    </row>
    <row r="57" spans="1:11" s="14" customFormat="1">
      <c r="B57" s="14" t="s">
        <v>45</v>
      </c>
      <c r="D57" s="14">
        <f>SUM(D53:D56)</f>
        <v>2022</v>
      </c>
      <c r="E57" s="14">
        <f>SUM(E53:E56)</f>
        <v>2122.8477149000005</v>
      </c>
      <c r="F57" s="14">
        <f t="shared" ref="F57:I57" si="29">SUM(F53:F56)</f>
        <v>2376.549574525081</v>
      </c>
      <c r="G57" s="14">
        <f t="shared" si="29"/>
        <v>2633.684828908973</v>
      </c>
      <c r="H57" s="14">
        <f t="shared" si="29"/>
        <v>2896.7018885730749</v>
      </c>
      <c r="I57" s="14">
        <f t="shared" si="29"/>
        <v>3166.8127095393775</v>
      </c>
      <c r="K57" s="7" t="s">
        <v>150</v>
      </c>
    </row>
    <row r="59" spans="1:11">
      <c r="A59" s="11" t="s">
        <v>121</v>
      </c>
    </row>
    <row r="61" spans="1:11">
      <c r="B61" s="7" t="s">
        <v>33</v>
      </c>
      <c r="E61" s="7">
        <f>E17</f>
        <v>40.52543144700001</v>
      </c>
      <c r="F61" s="7">
        <f t="shared" ref="F61:I61" si="30">F17</f>
        <v>66.161918682752457</v>
      </c>
      <c r="G61" s="7">
        <f t="shared" si="30"/>
        <v>96.487032103021619</v>
      </c>
      <c r="H61" s="7">
        <f t="shared" si="30"/>
        <v>127.09160152446144</v>
      </c>
      <c r="I61" s="7">
        <f t="shared" si="30"/>
        <v>158.08543794337356</v>
      </c>
      <c r="K61" s="7" t="s">
        <v>150</v>
      </c>
    </row>
    <row r="62" spans="1:11">
      <c r="B62" s="7" t="s">
        <v>104</v>
      </c>
      <c r="E62" s="7">
        <f>E29</f>
        <v>54</v>
      </c>
      <c r="F62" s="7">
        <f t="shared" ref="F62:I62" si="31">F29</f>
        <v>42</v>
      </c>
      <c r="G62" s="7">
        <f t="shared" si="31"/>
        <v>30</v>
      </c>
      <c r="H62" s="7">
        <f t="shared" si="31"/>
        <v>18</v>
      </c>
      <c r="I62" s="7">
        <f t="shared" si="31"/>
        <v>6</v>
      </c>
      <c r="K62" s="7" t="s">
        <v>150</v>
      </c>
    </row>
    <row r="63" spans="1:11">
      <c r="B63" s="7" t="s">
        <v>105</v>
      </c>
      <c r="E63" s="7">
        <f>E39</f>
        <v>30.875</v>
      </c>
      <c r="F63" s="7">
        <f t="shared" ref="F63:I63" si="32">F39</f>
        <v>27.625</v>
      </c>
      <c r="G63" s="7">
        <f t="shared" si="32"/>
        <v>24.375</v>
      </c>
      <c r="H63" s="7">
        <f t="shared" si="32"/>
        <v>21.125</v>
      </c>
      <c r="I63" s="7">
        <f t="shared" si="32"/>
        <v>17.875</v>
      </c>
      <c r="K63" s="7" t="s">
        <v>150</v>
      </c>
    </row>
    <row r="64" spans="1:11">
      <c r="B64" s="7" t="s">
        <v>106</v>
      </c>
      <c r="E64" s="7">
        <f>E49</f>
        <v>2.6399999999999997</v>
      </c>
      <c r="F64" s="7">
        <f t="shared" ref="F64:I64" si="33">F49</f>
        <v>2.6399999999999997</v>
      </c>
      <c r="G64" s="7">
        <f t="shared" si="33"/>
        <v>2.6399999999999997</v>
      </c>
      <c r="H64" s="7">
        <f t="shared" si="33"/>
        <v>2.6399999999999997</v>
      </c>
      <c r="I64" s="7">
        <f t="shared" si="33"/>
        <v>2.6399999999999997</v>
      </c>
      <c r="K64" s="7" t="s">
        <v>150</v>
      </c>
    </row>
    <row r="65" spans="1:11" s="14" customFormat="1">
      <c r="B65" s="14" t="s">
        <v>46</v>
      </c>
      <c r="E65" s="14">
        <f>SUM(E61:E64)</f>
        <v>128.040431447</v>
      </c>
      <c r="F65" s="14">
        <f t="shared" ref="F65:I65" si="34">SUM(F61:F64)</f>
        <v>138.42691868275244</v>
      </c>
      <c r="G65" s="14">
        <f t="shared" si="34"/>
        <v>153.50203210302161</v>
      </c>
      <c r="H65" s="14">
        <f t="shared" si="34"/>
        <v>168.85660152446144</v>
      </c>
      <c r="I65" s="14">
        <f t="shared" si="34"/>
        <v>184.60043794337355</v>
      </c>
      <c r="K65" s="7" t="s">
        <v>150</v>
      </c>
    </row>
    <row r="67" spans="1:11">
      <c r="A67" s="11" t="s">
        <v>49</v>
      </c>
    </row>
    <row r="69" spans="1:11">
      <c r="B69" s="7" t="s">
        <v>100</v>
      </c>
      <c r="D69" s="25">
        <f>BalSheet!D3</f>
        <v>457</v>
      </c>
      <c r="E69" s="25">
        <f>BalSheet!E3</f>
        <v>0</v>
      </c>
      <c r="F69" s="25">
        <f>BalSheet!F3</f>
        <v>0</v>
      </c>
      <c r="G69" s="25">
        <f>BalSheet!G3</f>
        <v>0</v>
      </c>
      <c r="H69" s="25">
        <f>BalSheet!H3</f>
        <v>0</v>
      </c>
      <c r="I69" s="25">
        <f>BalSheet!I3</f>
        <v>0</v>
      </c>
    </row>
    <row r="70" spans="1:11">
      <c r="B70" s="7" t="s">
        <v>31</v>
      </c>
      <c r="D70" s="25"/>
      <c r="E70" s="32">
        <f>Assumptions!E22</f>
        <v>4.4999999999999998E-2</v>
      </c>
      <c r="F70" s="32">
        <f>Assumptions!F22</f>
        <v>4.4999999999999998E-2</v>
      </c>
      <c r="G70" s="32">
        <f>Assumptions!G22</f>
        <v>4.4999999999999998E-2</v>
      </c>
      <c r="H70" s="32">
        <f>Assumptions!H22</f>
        <v>4.4999999999999998E-2</v>
      </c>
      <c r="I70" s="32">
        <f>Assumptions!I22</f>
        <v>4.4999999999999998E-2</v>
      </c>
      <c r="K70" s="7" t="s">
        <v>150</v>
      </c>
    </row>
    <row r="71" spans="1:11">
      <c r="B71" s="7" t="s">
        <v>49</v>
      </c>
      <c r="D71" s="25"/>
      <c r="E71" s="25">
        <f>E70*AVERAGE(D69:E69)</f>
        <v>10.282499999999999</v>
      </c>
      <c r="F71" s="25">
        <f t="shared" ref="F71:I71" si="35">F70*AVERAGE(E69:F69)</f>
        <v>0</v>
      </c>
      <c r="G71" s="25">
        <f t="shared" si="35"/>
        <v>0</v>
      </c>
      <c r="H71" s="25">
        <f t="shared" si="35"/>
        <v>0</v>
      </c>
      <c r="I71" s="25">
        <f t="shared" si="35"/>
        <v>0</v>
      </c>
      <c r="K71" s="7" t="s">
        <v>150</v>
      </c>
    </row>
    <row r="102" spans="1:9" s="14" customFormat="1">
      <c r="A102" s="7"/>
      <c r="B102" s="7"/>
      <c r="C102" s="7"/>
      <c r="D102" s="7"/>
      <c r="E102" s="7"/>
      <c r="F102" s="7"/>
      <c r="G102" s="7"/>
      <c r="H102" s="7"/>
      <c r="I102" s="7"/>
    </row>
    <row r="107" spans="1:9" s="14" customFormat="1">
      <c r="A107" s="7"/>
      <c r="B107" s="7"/>
      <c r="C107" s="7"/>
      <c r="D107" s="7"/>
      <c r="E107" s="7"/>
      <c r="F107" s="7"/>
      <c r="G107" s="7"/>
      <c r="H107" s="7"/>
      <c r="I107" s="7"/>
    </row>
    <row r="108" spans="1:9" s="14" customFormat="1">
      <c r="A108" s="7"/>
      <c r="B108" s="7"/>
      <c r="C108" s="7"/>
      <c r="D108" s="7"/>
      <c r="E108" s="7"/>
      <c r="F108" s="7"/>
      <c r="G108" s="7"/>
      <c r="H108" s="7"/>
      <c r="I108" s="7"/>
    </row>
    <row r="136" spans="1:9" s="14" customFormat="1">
      <c r="A136" s="7"/>
      <c r="B136" s="7"/>
      <c r="C136" s="7"/>
      <c r="D136" s="7"/>
      <c r="E136" s="7"/>
      <c r="F136" s="7"/>
      <c r="G136" s="7"/>
      <c r="H136" s="7"/>
      <c r="I136" s="7"/>
    </row>
    <row r="137" spans="1:9" s="14" customFormat="1">
      <c r="A137" s="7"/>
      <c r="B137" s="7"/>
      <c r="C137" s="7"/>
      <c r="D137" s="7"/>
      <c r="E137" s="7"/>
      <c r="F137" s="7"/>
      <c r="G137" s="7"/>
      <c r="H137" s="7"/>
      <c r="I137" s="7"/>
    </row>
    <row r="141" spans="1:9" s="14" customFormat="1">
      <c r="A141" s="7"/>
      <c r="B141" s="7"/>
      <c r="C141" s="7"/>
      <c r="D141" s="7"/>
      <c r="E141" s="7"/>
      <c r="F141" s="7"/>
      <c r="G141" s="7"/>
      <c r="H141" s="7"/>
      <c r="I141" s="7"/>
    </row>
    <row r="148" spans="1:9" s="14" customFormat="1">
      <c r="A148" s="7"/>
      <c r="B148" s="7"/>
      <c r="C148" s="7"/>
      <c r="D148" s="7"/>
      <c r="E148" s="7"/>
      <c r="F148" s="7"/>
      <c r="G148" s="7"/>
      <c r="H148" s="7"/>
      <c r="I148" s="7"/>
    </row>
    <row r="152" spans="1:9" s="14" customFormat="1">
      <c r="A152" s="7"/>
      <c r="B152" s="7"/>
      <c r="C152" s="7"/>
      <c r="D152" s="7"/>
      <c r="E152" s="7"/>
      <c r="F152" s="7"/>
      <c r="G152" s="7"/>
      <c r="H152" s="7"/>
      <c r="I152" s="7"/>
    </row>
    <row r="155" spans="1:9" s="14" customFormat="1">
      <c r="A155" s="7"/>
      <c r="B155" s="7"/>
      <c r="C155" s="7"/>
      <c r="D155" s="7"/>
      <c r="E155" s="7"/>
      <c r="F155" s="7"/>
      <c r="G155" s="7"/>
      <c r="H155" s="7"/>
      <c r="I155" s="7"/>
    </row>
    <row r="158" spans="1:9" s="14" customFormat="1">
      <c r="A158" s="7"/>
      <c r="B158" s="7"/>
      <c r="C158" s="7"/>
      <c r="D158" s="7"/>
      <c r="E158" s="7"/>
      <c r="F158" s="7"/>
      <c r="G158" s="7"/>
      <c r="H158" s="7"/>
      <c r="I158" s="7"/>
    </row>
    <row r="159" spans="1:9" s="14" customFormat="1">
      <c r="A159" s="7"/>
      <c r="B159" s="7"/>
      <c r="C159" s="7"/>
      <c r="D159" s="7"/>
      <c r="E159" s="7"/>
      <c r="F159" s="7"/>
      <c r="G159" s="7"/>
      <c r="H159" s="7"/>
      <c r="I159" s="7"/>
    </row>
    <row r="160" spans="1:9" s="8" customFormat="1">
      <c r="A160" s="7"/>
      <c r="B160" s="7"/>
      <c r="C160" s="7"/>
      <c r="D160" s="7"/>
      <c r="E160" s="7"/>
      <c r="F160" s="7"/>
      <c r="G160" s="7"/>
      <c r="H160" s="7"/>
      <c r="I160" s="7"/>
    </row>
    <row r="162" spans="1:9" s="8" customFormat="1">
      <c r="A162" s="7"/>
      <c r="B162" s="7"/>
      <c r="C162" s="7"/>
      <c r="D162" s="7"/>
      <c r="E162" s="7"/>
      <c r="F162" s="7"/>
      <c r="G162" s="7"/>
      <c r="H162" s="7"/>
      <c r="I162" s="7"/>
    </row>
    <row r="163" spans="1:9" s="8" customFormat="1">
      <c r="A163" s="7"/>
      <c r="B163" s="7"/>
      <c r="C163" s="7"/>
      <c r="D163" s="7"/>
      <c r="E163" s="7"/>
      <c r="F163" s="7"/>
      <c r="G163" s="7"/>
      <c r="H163" s="7"/>
      <c r="I163" s="7"/>
    </row>
    <row r="164" spans="1:9" s="8" customFormat="1">
      <c r="A164" s="7"/>
      <c r="B164" s="7"/>
      <c r="C164" s="7"/>
      <c r="D164" s="7"/>
      <c r="E164" s="7"/>
      <c r="F164" s="7"/>
      <c r="G164" s="7"/>
      <c r="H164" s="7"/>
      <c r="I164" s="7"/>
    </row>
    <row r="179" spans="1:9" s="14" customFormat="1">
      <c r="A179" s="7"/>
      <c r="B179" s="7"/>
      <c r="C179" s="7"/>
      <c r="D179" s="7"/>
      <c r="E179" s="7"/>
      <c r="F179" s="7"/>
      <c r="G179" s="7"/>
      <c r="H179" s="7"/>
      <c r="I179" s="7"/>
    </row>
    <row r="186" spans="1:9" s="14" customFormat="1">
      <c r="A186" s="7"/>
      <c r="B186" s="7"/>
      <c r="C186" s="7"/>
      <c r="D186" s="7"/>
      <c r="E186" s="7"/>
      <c r="F186" s="7"/>
      <c r="G186" s="7"/>
      <c r="H186" s="7"/>
      <c r="I186" s="7"/>
    </row>
    <row r="194" spans="1:9" s="14" customFormat="1">
      <c r="A194" s="7"/>
      <c r="B194" s="7"/>
      <c r="C194" s="7"/>
      <c r="D194" s="7"/>
      <c r="E194" s="7"/>
      <c r="F194" s="7"/>
      <c r="G194" s="7"/>
      <c r="H194" s="7"/>
      <c r="I194" s="7"/>
    </row>
    <row r="200" spans="1:9" s="14" customFormat="1">
      <c r="A200" s="7"/>
      <c r="B200" s="7"/>
      <c r="C200" s="7"/>
      <c r="D200" s="7"/>
      <c r="E200" s="7"/>
      <c r="F200" s="7"/>
      <c r="G200" s="7"/>
      <c r="H200" s="7"/>
      <c r="I200" s="7"/>
    </row>
    <row r="208" spans="1:9" s="14" customFormat="1">
      <c r="A208" s="7"/>
      <c r="B208" s="7"/>
      <c r="C208" s="7"/>
      <c r="D208" s="7"/>
      <c r="E208" s="7"/>
      <c r="F208" s="7"/>
      <c r="G208" s="7"/>
      <c r="H208" s="7"/>
      <c r="I208" s="7"/>
    </row>
    <row r="210" spans="1:9" s="14" customFormat="1">
      <c r="A210" s="7"/>
      <c r="B210" s="7"/>
      <c r="C210" s="7"/>
      <c r="D210" s="7"/>
      <c r="E210" s="7"/>
      <c r="F210" s="7"/>
      <c r="G210" s="7"/>
      <c r="H210" s="7"/>
      <c r="I210" s="7"/>
    </row>
    <row r="212" spans="1:9" s="12" customFormat="1">
      <c r="A212" s="7"/>
      <c r="B212" s="7"/>
      <c r="C212" s="7"/>
      <c r="D212" s="7"/>
      <c r="E212" s="7"/>
      <c r="F212" s="7"/>
      <c r="G212" s="7"/>
      <c r="H212" s="7"/>
      <c r="I212" s="7"/>
    </row>
    <row r="223" spans="1:9" s="14" customFormat="1">
      <c r="A223" s="7"/>
      <c r="B223" s="7"/>
      <c r="C223" s="7"/>
      <c r="D223" s="7"/>
      <c r="E223" s="7"/>
      <c r="F223" s="7"/>
      <c r="G223" s="7"/>
      <c r="H223" s="7"/>
      <c r="I223" s="7"/>
    </row>
    <row r="235" spans="1:9" s="14" customFormat="1">
      <c r="A235" s="7"/>
      <c r="B235" s="7"/>
      <c r="C235" s="7"/>
      <c r="D235" s="7"/>
      <c r="E235" s="7"/>
      <c r="F235" s="7"/>
      <c r="G235" s="7"/>
      <c r="H235" s="7"/>
      <c r="I235" s="7"/>
    </row>
    <row r="237" spans="1:9" s="14" customFormat="1">
      <c r="A237" s="7"/>
      <c r="B237" s="7"/>
      <c r="C237" s="7"/>
      <c r="D237" s="7"/>
      <c r="E237" s="7"/>
      <c r="F237" s="7"/>
      <c r="G237" s="7"/>
      <c r="H237" s="7"/>
      <c r="I237" s="7"/>
    </row>
    <row r="239" spans="1:9" s="8" customFormat="1">
      <c r="A239" s="7"/>
      <c r="B239" s="7"/>
      <c r="C239" s="7"/>
      <c r="D239" s="7"/>
      <c r="E239" s="7"/>
      <c r="F239" s="7"/>
      <c r="G239" s="7"/>
      <c r="H239" s="7"/>
      <c r="I239" s="7"/>
    </row>
  </sheetData>
  <phoneticPr fontId="9" type="noConversion"/>
  <pageMargins left="0.75" right="0.75" top="1" bottom="1" header="0.5" footer="0.5"/>
  <pageSetup scale="79" orientation="landscape" horizontalDpi="4294967292"/>
  <headerFooter alignWithMargins="0">
    <oddHeader>&amp;L&amp;8&amp;F &amp;A</oddHeader>
    <oddFooter>&amp;L&amp;8© Adkins Matchett &amp; Toy 2010&amp;R&amp;8&amp;P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0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/>
    </sheetView>
  </sheetViews>
  <sheetFormatPr baseColWidth="10" defaultColWidth="8.83203125" defaultRowHeight="12" x14ac:dyDescent="0"/>
  <cols>
    <col min="1" max="1" width="1.6640625" style="7" customWidth="1"/>
    <col min="2" max="2" width="55.6640625" style="7" customWidth="1"/>
    <col min="3" max="4" width="10" style="9" customWidth="1"/>
    <col min="5" max="9" width="10" style="7" customWidth="1"/>
    <col min="10" max="16384" width="8.83203125" style="7"/>
  </cols>
  <sheetData>
    <row r="1" spans="1:16" s="1" customFormat="1" ht="23.25" customHeight="1">
      <c r="A1" s="41"/>
      <c r="B1" s="41"/>
      <c r="C1" s="41" t="s">
        <v>0</v>
      </c>
      <c r="D1" s="41" t="s">
        <v>0</v>
      </c>
      <c r="E1" s="41" t="s">
        <v>1</v>
      </c>
      <c r="F1" s="41" t="s">
        <v>1</v>
      </c>
      <c r="G1" s="41" t="s">
        <v>1</v>
      </c>
      <c r="H1" s="41" t="s">
        <v>1</v>
      </c>
      <c r="I1" s="41" t="s">
        <v>1</v>
      </c>
      <c r="J1" s="41"/>
      <c r="K1" s="41"/>
      <c r="L1" s="41"/>
      <c r="M1" s="41"/>
      <c r="N1" s="41"/>
      <c r="O1" s="41"/>
      <c r="P1" s="41"/>
    </row>
    <row r="2" spans="1:16" s="44" customFormat="1" ht="19.5" customHeight="1">
      <c r="A2" s="42" t="s">
        <v>37</v>
      </c>
      <c r="B2" s="43"/>
      <c r="C2" s="41" t="s">
        <v>92</v>
      </c>
      <c r="D2" s="41" t="s">
        <v>93</v>
      </c>
      <c r="E2" s="41" t="s">
        <v>94</v>
      </c>
      <c r="F2" s="41" t="s">
        <v>95</v>
      </c>
      <c r="G2" s="41" t="s">
        <v>96</v>
      </c>
      <c r="H2" s="41" t="s">
        <v>97</v>
      </c>
      <c r="I2" s="41" t="s">
        <v>98</v>
      </c>
      <c r="J2" s="43"/>
      <c r="K2" s="45" t="s">
        <v>172</v>
      </c>
      <c r="L2" s="43"/>
      <c r="M2" s="43"/>
      <c r="N2" s="43"/>
      <c r="O2" s="43"/>
      <c r="P2" s="43"/>
    </row>
    <row r="3" spans="1:16">
      <c r="A3" s="11"/>
      <c r="B3" s="7" t="s">
        <v>67</v>
      </c>
      <c r="C3" s="19">
        <v>7681</v>
      </c>
      <c r="D3" s="19">
        <v>7164</v>
      </c>
      <c r="E3" s="7">
        <f>(1+Assumptions!E5)*IncState!D3</f>
        <v>7307.28</v>
      </c>
      <c r="F3" s="7">
        <f>(1+Assumptions!F5)*IncState!E3</f>
        <v>7453.4255999999996</v>
      </c>
      <c r="G3" s="7">
        <f>(1+Assumptions!G5)*IncState!F3</f>
        <v>7602.4941119999994</v>
      </c>
      <c r="H3" s="7">
        <f>(1+Assumptions!H5)*IncState!G3</f>
        <v>7754.5439942399998</v>
      </c>
      <c r="I3" s="7">
        <f>(1+Assumptions!I5)*IncState!H3</f>
        <v>7909.6348741248003</v>
      </c>
      <c r="K3" s="7" t="s">
        <v>150</v>
      </c>
    </row>
    <row r="4" spans="1:16">
      <c r="A4" s="11"/>
      <c r="B4" s="7" t="s">
        <v>68</v>
      </c>
      <c r="C4" s="19">
        <v>2272</v>
      </c>
      <c r="D4" s="19">
        <v>1840</v>
      </c>
      <c r="E4" s="7">
        <f>(1+Assumptions!E6)*IncState!D4</f>
        <v>1876.8</v>
      </c>
      <c r="F4" s="7">
        <f>(1+Assumptions!F6)*IncState!E4</f>
        <v>1914.336</v>
      </c>
      <c r="G4" s="7">
        <f>(1+Assumptions!G6)*IncState!F4</f>
        <v>1952.6227200000001</v>
      </c>
      <c r="H4" s="7">
        <f>(1+Assumptions!H6)*IncState!G4</f>
        <v>1991.6751744000001</v>
      </c>
      <c r="I4" s="7">
        <f>(1+Assumptions!I6)*IncState!H4</f>
        <v>2031.5086778880002</v>
      </c>
      <c r="K4" s="15" t="s">
        <v>167</v>
      </c>
    </row>
    <row r="5" spans="1:16">
      <c r="A5" s="11"/>
      <c r="B5" s="7" t="s">
        <v>69</v>
      </c>
      <c r="C5" s="19">
        <v>1532</v>
      </c>
      <c r="D5" s="19">
        <v>1526</v>
      </c>
      <c r="E5" s="7">
        <f>(1+Assumptions!E7)*IncState!D5</f>
        <v>1571.78</v>
      </c>
      <c r="F5" s="7">
        <f>(1+Assumptions!F7)*IncState!E5</f>
        <v>1618.9334000000001</v>
      </c>
      <c r="G5" s="7">
        <f>(1+Assumptions!G7)*IncState!F5</f>
        <v>1667.5014020000001</v>
      </c>
      <c r="H5" s="7">
        <f>(1+Assumptions!H7)*IncState!G5</f>
        <v>1717.5264440600001</v>
      </c>
      <c r="I5" s="7">
        <f>(1+Assumptions!I7)*IncState!H5</f>
        <v>1769.0522373818001</v>
      </c>
      <c r="K5" s="15" t="s">
        <v>150</v>
      </c>
    </row>
    <row r="6" spans="1:16">
      <c r="A6" s="11"/>
      <c r="B6" s="7" t="s">
        <v>66</v>
      </c>
      <c r="C6" s="19">
        <v>3053</v>
      </c>
      <c r="D6" s="19">
        <v>2876</v>
      </c>
      <c r="E6" s="7">
        <f>(1+Assumptions!E8)*IncState!D6</f>
        <v>2991.04</v>
      </c>
      <c r="F6" s="7">
        <f>(1+Assumptions!F8)*IncState!E6</f>
        <v>3110.6815999999999</v>
      </c>
      <c r="G6" s="7">
        <f>(1+Assumptions!G8)*IncState!F6</f>
        <v>3235.1088639999998</v>
      </c>
      <c r="H6" s="7">
        <f>(1+Assumptions!H8)*IncState!G6</f>
        <v>3364.51321856</v>
      </c>
      <c r="I6" s="7">
        <f>(1+Assumptions!I8)*IncState!H6</f>
        <v>3499.0937473024001</v>
      </c>
      <c r="K6" s="15" t="s">
        <v>150</v>
      </c>
    </row>
    <row r="7" spans="1:16">
      <c r="A7" s="14"/>
      <c r="B7" s="14" t="s">
        <v>22</v>
      </c>
      <c r="C7" s="20">
        <f>SUM(C3:C6)</f>
        <v>14538</v>
      </c>
      <c r="D7" s="20">
        <f>SUM(D3:D6)</f>
        <v>13406</v>
      </c>
      <c r="E7" s="20">
        <f>SUM(E3:E6)</f>
        <v>13746.900000000001</v>
      </c>
      <c r="F7" s="20">
        <f t="shared" ref="F7:I7" si="0">SUM(F3:F6)</f>
        <v>14097.3766</v>
      </c>
      <c r="G7" s="20">
        <f t="shared" si="0"/>
        <v>14457.727097999999</v>
      </c>
      <c r="H7" s="20">
        <f t="shared" si="0"/>
        <v>14828.25883126</v>
      </c>
      <c r="I7" s="20">
        <f t="shared" si="0"/>
        <v>15209.289536697001</v>
      </c>
      <c r="K7" s="15"/>
    </row>
    <row r="8" spans="1:16">
      <c r="A8" s="14"/>
      <c r="B8" s="14"/>
      <c r="C8" s="20"/>
      <c r="D8" s="20"/>
      <c r="E8" s="14"/>
      <c r="F8" s="14"/>
      <c r="G8" s="14"/>
      <c r="H8" s="14"/>
      <c r="I8" s="14"/>
      <c r="K8" s="15"/>
    </row>
    <row r="9" spans="1:16">
      <c r="A9" s="14"/>
      <c r="B9" s="7" t="s">
        <v>2</v>
      </c>
      <c r="C9" s="19">
        <v>7976</v>
      </c>
      <c r="D9" s="19">
        <v>7293</v>
      </c>
      <c r="E9" s="7">
        <f>Assumptions!E10*IncState!E7</f>
        <v>7560.795000000001</v>
      </c>
      <c r="F9" s="7">
        <f>Assumptions!F10*IncState!F7</f>
        <v>7753.5571300000001</v>
      </c>
      <c r="G9" s="7">
        <f>Assumptions!G10*IncState!G7</f>
        <v>7951.7499039000004</v>
      </c>
      <c r="H9" s="7">
        <f>Assumptions!H10*IncState!H7</f>
        <v>8155.5423571930005</v>
      </c>
      <c r="I9" s="7">
        <f>Assumptions!I10*IncState!I7</f>
        <v>8365.1092451833501</v>
      </c>
      <c r="K9" s="15" t="s">
        <v>150</v>
      </c>
    </row>
    <row r="10" spans="1:16">
      <c r="A10" s="14"/>
      <c r="B10" s="7" t="s">
        <v>4</v>
      </c>
      <c r="C10" s="19">
        <v>3912</v>
      </c>
      <c r="D10" s="19">
        <v>3303</v>
      </c>
      <c r="E10" s="7">
        <f>Assumptions!E12*IncState!E7</f>
        <v>3381.7374000000004</v>
      </c>
      <c r="F10" s="7">
        <f>Assumptions!F12*IncState!F7</f>
        <v>3467.9546436000001</v>
      </c>
      <c r="G10" s="7">
        <f>Assumptions!G12*IncState!G7</f>
        <v>3556.600866108</v>
      </c>
      <c r="H10" s="7">
        <f>Assumptions!H12*IncState!H7</f>
        <v>3647.7516724899601</v>
      </c>
      <c r="I10" s="7">
        <f>Assumptions!I12*IncState!I7</f>
        <v>3741.485226027462</v>
      </c>
      <c r="K10" s="15" t="s">
        <v>150</v>
      </c>
    </row>
    <row r="11" spans="1:16">
      <c r="A11" s="14"/>
      <c r="B11" s="7" t="s">
        <v>3</v>
      </c>
      <c r="C11" s="19">
        <f>1044+186</f>
        <v>1230</v>
      </c>
      <c r="D11" s="19">
        <f>880+42</f>
        <v>922</v>
      </c>
      <c r="E11" s="7">
        <f>Assumptions!E14*IncState!E7</f>
        <v>948.53610000000015</v>
      </c>
      <c r="F11" s="7">
        <f>Assumptions!F14*IncState!F7</f>
        <v>972.71898540000007</v>
      </c>
      <c r="G11" s="7">
        <f>Assumptions!G14*IncState!G7</f>
        <v>997.58316976200001</v>
      </c>
      <c r="H11" s="7">
        <f>Assumptions!H14*IncState!H7</f>
        <v>1023.1498593569401</v>
      </c>
      <c r="I11" s="7">
        <f>Assumptions!I14*IncState!I7</f>
        <v>1049.4409780320932</v>
      </c>
      <c r="K11" s="15" t="s">
        <v>150</v>
      </c>
    </row>
    <row r="12" spans="1:16">
      <c r="A12" s="14"/>
      <c r="B12" s="7" t="s">
        <v>151</v>
      </c>
      <c r="C12" s="19">
        <f>C15+C16</f>
        <v>828</v>
      </c>
      <c r="D12" s="19">
        <f t="shared" ref="D12:I12" si="1">D15+D16</f>
        <v>853</v>
      </c>
      <c r="E12" s="19">
        <f t="shared" si="1"/>
        <v>908.476</v>
      </c>
      <c r="F12" s="19">
        <f t="shared" si="1"/>
        <v>957.01932240000008</v>
      </c>
      <c r="G12" s="19">
        <f t="shared" si="1"/>
        <v>1003.0028042079999</v>
      </c>
      <c r="H12" s="19">
        <f t="shared" si="1"/>
        <v>1046.8806046592158</v>
      </c>
      <c r="I12" s="19">
        <f t="shared" si="1"/>
        <v>1089.0494850395435</v>
      </c>
      <c r="K12" s="15" t="s">
        <v>171</v>
      </c>
    </row>
    <row r="13" spans="1:16">
      <c r="A13" s="14"/>
      <c r="B13" s="14" t="s">
        <v>74</v>
      </c>
      <c r="C13" s="20">
        <f>C7-SUM(C9:C12)</f>
        <v>592</v>
      </c>
      <c r="D13" s="20">
        <f t="shared" ref="D13:I13" si="2">D7-SUM(D9:D12)</f>
        <v>1035</v>
      </c>
      <c r="E13" s="20">
        <f t="shared" si="2"/>
        <v>947.35549999999967</v>
      </c>
      <c r="F13" s="20">
        <f t="shared" si="2"/>
        <v>946.12651860000005</v>
      </c>
      <c r="G13" s="20">
        <f t="shared" si="2"/>
        <v>948.79035402199952</v>
      </c>
      <c r="H13" s="20">
        <f t="shared" si="2"/>
        <v>954.93433756088416</v>
      </c>
      <c r="I13" s="20">
        <f t="shared" si="2"/>
        <v>964.20460241455294</v>
      </c>
      <c r="K13" s="15" t="s">
        <v>150</v>
      </c>
    </row>
    <row r="14" spans="1:16">
      <c r="A14" s="14"/>
      <c r="B14" s="14"/>
      <c r="C14" s="20"/>
      <c r="D14" s="20"/>
      <c r="E14" s="14"/>
      <c r="F14" s="14"/>
      <c r="G14" s="14"/>
      <c r="H14" s="14"/>
      <c r="I14" s="14"/>
      <c r="K14" s="15"/>
    </row>
    <row r="15" spans="1:16" s="14" customFormat="1">
      <c r="A15" s="7"/>
      <c r="B15" s="7" t="s">
        <v>20</v>
      </c>
      <c r="C15" s="19">
        <v>748</v>
      </c>
      <c r="D15" s="19">
        <v>737</v>
      </c>
      <c r="E15" s="7">
        <f>Calcs!E6</f>
        <v>792.476</v>
      </c>
      <c r="F15" s="7">
        <f>Calcs!F6</f>
        <v>841.01932240000008</v>
      </c>
      <c r="G15" s="7">
        <f>Calcs!G6</f>
        <v>887.00280420799993</v>
      </c>
      <c r="H15" s="7">
        <f>Calcs!H6</f>
        <v>930.88060465921592</v>
      </c>
      <c r="I15" s="7">
        <f>Calcs!I6</f>
        <v>973.04948503954347</v>
      </c>
      <c r="K15" s="15" t="s">
        <v>150</v>
      </c>
    </row>
    <row r="16" spans="1:16">
      <c r="B16" s="7" t="s">
        <v>21</v>
      </c>
      <c r="C16" s="19">
        <v>80</v>
      </c>
      <c r="D16" s="19">
        <v>116</v>
      </c>
      <c r="E16" s="7">
        <f>Assumptions!E13</f>
        <v>116</v>
      </c>
      <c r="F16" s="7">
        <f>Assumptions!F13</f>
        <v>116</v>
      </c>
      <c r="G16" s="7">
        <f>Assumptions!G13</f>
        <v>116</v>
      </c>
      <c r="H16" s="7">
        <f>Assumptions!H13</f>
        <v>116</v>
      </c>
      <c r="I16" s="7">
        <f>Assumptions!I13</f>
        <v>116</v>
      </c>
      <c r="K16" s="15" t="s">
        <v>150</v>
      </c>
    </row>
    <row r="17" spans="1:13">
      <c r="A17" s="14"/>
      <c r="B17" s="14" t="s">
        <v>75</v>
      </c>
      <c r="C17" s="20">
        <f>C13+SUM(C15:C16)</f>
        <v>1420</v>
      </c>
      <c r="D17" s="20">
        <f>D13+SUM(D15:D16)</f>
        <v>1888</v>
      </c>
      <c r="E17" s="20">
        <f>E13+SUM(E15:E16)</f>
        <v>1855.8314999999998</v>
      </c>
      <c r="F17" s="20">
        <f t="shared" ref="F17:I17" si="3">F13+SUM(F15:F16)</f>
        <v>1903.145841</v>
      </c>
      <c r="G17" s="20">
        <f t="shared" si="3"/>
        <v>1951.7931582299993</v>
      </c>
      <c r="H17" s="20">
        <f t="shared" si="3"/>
        <v>2001.8149422201</v>
      </c>
      <c r="I17" s="20">
        <f t="shared" si="3"/>
        <v>2053.2540874540964</v>
      </c>
      <c r="K17" s="15" t="s">
        <v>150</v>
      </c>
    </row>
    <row r="18" spans="1:13">
      <c r="K18" s="15"/>
    </row>
    <row r="19" spans="1:13">
      <c r="B19" s="7" t="s">
        <v>117</v>
      </c>
      <c r="C19" s="19">
        <f>1290-21</f>
        <v>1269</v>
      </c>
      <c r="D19" s="19">
        <v>-328</v>
      </c>
      <c r="E19" s="7">
        <f>Assumptions!E15</f>
        <v>0</v>
      </c>
      <c r="F19" s="7">
        <f>Assumptions!F15</f>
        <v>0</v>
      </c>
      <c r="G19" s="7">
        <f>Assumptions!G15</f>
        <v>0</v>
      </c>
      <c r="H19" s="7">
        <f>Assumptions!H15</f>
        <v>0</v>
      </c>
      <c r="I19" s="7">
        <f>Assumptions!I15</f>
        <v>0</v>
      </c>
      <c r="K19" s="15" t="s">
        <v>150</v>
      </c>
    </row>
    <row r="20" spans="1:13" s="14" customFormat="1">
      <c r="A20" s="7"/>
      <c r="B20" s="7" t="s">
        <v>49</v>
      </c>
      <c r="C20" s="19">
        <v>12</v>
      </c>
      <c r="D20" s="19">
        <v>15</v>
      </c>
      <c r="E20" s="31">
        <v>10.28</v>
      </c>
      <c r="F20" s="31">
        <v>0</v>
      </c>
      <c r="G20" s="31">
        <v>0</v>
      </c>
      <c r="H20" s="31">
        <v>0</v>
      </c>
      <c r="I20" s="31">
        <v>0</v>
      </c>
      <c r="K20" s="46" t="s">
        <v>150</v>
      </c>
      <c r="L20" s="21"/>
      <c r="M20" s="21"/>
    </row>
    <row r="21" spans="1:13">
      <c r="B21" s="7" t="s">
        <v>58</v>
      </c>
      <c r="C21" s="19">
        <v>98</v>
      </c>
      <c r="D21" s="19">
        <v>110</v>
      </c>
      <c r="E21" s="31">
        <v>124.39</v>
      </c>
      <c r="F21" s="31">
        <v>128.58000000000001</v>
      </c>
      <c r="G21" s="31">
        <v>138.30000000000001</v>
      </c>
      <c r="H21" s="31">
        <v>147.83000000000001</v>
      </c>
      <c r="I21" s="31">
        <v>157.37</v>
      </c>
      <c r="K21" s="15" t="s">
        <v>150</v>
      </c>
    </row>
    <row r="22" spans="1:13">
      <c r="A22" s="14"/>
      <c r="B22" s="14" t="s">
        <v>87</v>
      </c>
      <c r="C22" s="20">
        <f>C13-C19+C20-C21</f>
        <v>-763</v>
      </c>
      <c r="D22" s="20">
        <f t="shared" ref="D22" si="4">D13-D19+D20-D21</f>
        <v>1268</v>
      </c>
      <c r="E22" s="20">
        <f>E13-E19+E20-E21</f>
        <v>833.24549999999965</v>
      </c>
      <c r="F22" s="20">
        <f t="shared" ref="F22:I22" si="5">F13-F19+F20-F21</f>
        <v>817.54651860000001</v>
      </c>
      <c r="G22" s="20">
        <f t="shared" si="5"/>
        <v>810.49035402199956</v>
      </c>
      <c r="H22" s="20">
        <f t="shared" si="5"/>
        <v>807.10433756088412</v>
      </c>
      <c r="I22" s="20">
        <f t="shared" si="5"/>
        <v>806.83460241455293</v>
      </c>
      <c r="K22" s="15" t="s">
        <v>152</v>
      </c>
    </row>
    <row r="23" spans="1:13">
      <c r="K23" s="15"/>
    </row>
    <row r="24" spans="1:13">
      <c r="B24" s="7" t="s">
        <v>84</v>
      </c>
      <c r="C24" s="19">
        <v>48</v>
      </c>
      <c r="D24" s="19">
        <v>716</v>
      </c>
      <c r="E24" s="7">
        <f>Assumptions!E16*IncState!E22</f>
        <v>283.30346999999989</v>
      </c>
      <c r="F24" s="7">
        <f>Assumptions!F16*IncState!F22</f>
        <v>277.965816324</v>
      </c>
      <c r="G24" s="7">
        <f>Assumptions!G16*IncState!G22</f>
        <v>275.56672036747989</v>
      </c>
      <c r="H24" s="7">
        <f>Assumptions!H16*IncState!H22</f>
        <v>274.4154747707006</v>
      </c>
      <c r="I24" s="7">
        <f>Assumptions!I16*IncState!I22</f>
        <v>274.32376482094804</v>
      </c>
      <c r="K24" s="15" t="s">
        <v>150</v>
      </c>
    </row>
    <row r="25" spans="1:13">
      <c r="B25" s="14" t="s">
        <v>5</v>
      </c>
      <c r="C25" s="20">
        <f>C22-C24</f>
        <v>-811</v>
      </c>
      <c r="D25" s="20">
        <f t="shared" ref="D25:I25" si="6">D22-D24</f>
        <v>552</v>
      </c>
      <c r="E25" s="20">
        <f t="shared" si="6"/>
        <v>549.9420299999997</v>
      </c>
      <c r="F25" s="20">
        <f t="shared" si="6"/>
        <v>539.58070227600001</v>
      </c>
      <c r="G25" s="20">
        <f t="shared" si="6"/>
        <v>534.92363365451968</v>
      </c>
      <c r="H25" s="20">
        <f t="shared" si="6"/>
        <v>532.68886279018352</v>
      </c>
      <c r="I25" s="20">
        <f t="shared" si="6"/>
        <v>532.51083759360495</v>
      </c>
      <c r="K25" s="15" t="s">
        <v>153</v>
      </c>
    </row>
    <row r="26" spans="1:13">
      <c r="B26" s="14"/>
      <c r="C26" s="20"/>
      <c r="D26" s="20"/>
      <c r="E26" s="14"/>
      <c r="F26" s="14"/>
      <c r="G26" s="14"/>
      <c r="H26" s="14"/>
      <c r="I26" s="14"/>
      <c r="K26" s="15"/>
    </row>
    <row r="27" spans="1:13" s="15" customFormat="1">
      <c r="B27" s="15" t="s">
        <v>116</v>
      </c>
      <c r="C27" s="22">
        <f>C19*(1-Assumptions!C17)</f>
        <v>791.85599999999999</v>
      </c>
      <c r="D27" s="22">
        <f>D19*(1-Assumptions!D17)</f>
        <v>-204.672</v>
      </c>
      <c r="E27" s="22">
        <f>E19*(1-Assumptions!E17)</f>
        <v>0</v>
      </c>
      <c r="F27" s="22">
        <f>F19*(1-Assumptions!F17)</f>
        <v>0</v>
      </c>
      <c r="G27" s="22">
        <f>G19*(1-Assumptions!G17)</f>
        <v>0</v>
      </c>
      <c r="H27" s="22">
        <f>H19*(1-Assumptions!H17)</f>
        <v>0</v>
      </c>
      <c r="I27" s="22">
        <f>I19*(1-Assumptions!I17)</f>
        <v>0</v>
      </c>
      <c r="K27" s="15" t="s">
        <v>168</v>
      </c>
    </row>
    <row r="28" spans="1:13" s="14" customFormat="1">
      <c r="B28" s="14" t="s">
        <v>118</v>
      </c>
      <c r="C28" s="20">
        <f>C25+C27</f>
        <v>-19.144000000000005</v>
      </c>
      <c r="D28" s="20">
        <f t="shared" ref="D28:I28" si="7">D25+D27</f>
        <v>347.32799999999997</v>
      </c>
      <c r="E28" s="20">
        <f t="shared" si="7"/>
        <v>549.9420299999997</v>
      </c>
      <c r="F28" s="20">
        <f t="shared" si="7"/>
        <v>539.58070227600001</v>
      </c>
      <c r="G28" s="20">
        <f t="shared" si="7"/>
        <v>534.92363365451968</v>
      </c>
      <c r="H28" s="20">
        <f t="shared" si="7"/>
        <v>532.68886279018352</v>
      </c>
      <c r="I28" s="20">
        <f t="shared" si="7"/>
        <v>532.51083759360495</v>
      </c>
      <c r="K28" s="15" t="s">
        <v>150</v>
      </c>
    </row>
    <row r="29" spans="1:13" s="14" customFormat="1">
      <c r="A29" s="7"/>
      <c r="C29" s="20"/>
      <c r="D29" s="20"/>
    </row>
    <row r="30" spans="1:13">
      <c r="A30" s="14"/>
      <c r="B30" s="8" t="s">
        <v>26</v>
      </c>
      <c r="C30" s="19">
        <v>577</v>
      </c>
      <c r="D30" s="19">
        <v>570</v>
      </c>
      <c r="E30" s="8">
        <f>E31*E33</f>
        <v>587.1</v>
      </c>
      <c r="F30" s="8">
        <f t="shared" ref="F30:I30" si="8">F31*F33</f>
        <v>604.71300000000008</v>
      </c>
      <c r="G30" s="8">
        <f t="shared" si="8"/>
        <v>622.85439000000008</v>
      </c>
      <c r="H30" s="8">
        <f t="shared" si="8"/>
        <v>641.54002170000012</v>
      </c>
      <c r="I30" s="8">
        <f t="shared" si="8"/>
        <v>660.78622235100011</v>
      </c>
      <c r="K30" s="7" t="s">
        <v>150</v>
      </c>
    </row>
    <row r="31" spans="1:13">
      <c r="A31" s="8"/>
      <c r="B31" s="7" t="s">
        <v>76</v>
      </c>
      <c r="C31" s="19">
        <v>327.39999999999998</v>
      </c>
      <c r="D31" s="19">
        <v>323.3</v>
      </c>
      <c r="E31" s="7">
        <f>Assumptions!E19</f>
        <v>323.3</v>
      </c>
      <c r="F31" s="7">
        <f>Assumptions!F19</f>
        <v>323.3</v>
      </c>
      <c r="G31" s="7">
        <f>Assumptions!G19</f>
        <v>323.3</v>
      </c>
      <c r="H31" s="7">
        <f>Assumptions!H19</f>
        <v>323.3</v>
      </c>
      <c r="I31" s="7">
        <f>Assumptions!I19</f>
        <v>323.3</v>
      </c>
      <c r="K31" s="7" t="s">
        <v>150</v>
      </c>
    </row>
    <row r="32" spans="1:13">
      <c r="B32" s="8" t="s">
        <v>120</v>
      </c>
      <c r="C32" s="23">
        <f>C28/C31</f>
        <v>-5.8472816127061719E-2</v>
      </c>
      <c r="D32" s="23">
        <f>D28/D31</f>
        <v>1.0743210640272192</v>
      </c>
      <c r="E32" s="23">
        <f>E28/E31</f>
        <v>1.7010270027837913</v>
      </c>
      <c r="F32" s="23">
        <f t="shared" ref="F32:I32" si="9">F28/F31</f>
        <v>1.6689783553232291</v>
      </c>
      <c r="G32" s="23">
        <f t="shared" si="9"/>
        <v>1.6545735652784401</v>
      </c>
      <c r="H32" s="23">
        <f t="shared" si="9"/>
        <v>1.647661190195433</v>
      </c>
      <c r="I32" s="23">
        <f t="shared" si="9"/>
        <v>1.6471105400358952</v>
      </c>
      <c r="K32" s="7" t="s">
        <v>150</v>
      </c>
    </row>
    <row r="33" spans="1:11">
      <c r="A33" s="8"/>
      <c r="B33" s="8" t="s">
        <v>27</v>
      </c>
      <c r="C33" s="23">
        <f>C30/C31</f>
        <v>1.7623701893708004</v>
      </c>
      <c r="D33" s="23">
        <f>D30/D31</f>
        <v>1.7630683575626354</v>
      </c>
      <c r="E33" s="24">
        <f>(1+Assumptions!E18)*IncState!D33</f>
        <v>1.8159604082895144</v>
      </c>
      <c r="F33" s="24">
        <f>(1+Assumptions!F18)*IncState!E33</f>
        <v>1.8704392205381999</v>
      </c>
      <c r="G33" s="24">
        <f>(1+Assumptions!G18)*IncState!F33</f>
        <v>1.9265523971543459</v>
      </c>
      <c r="H33" s="24">
        <f>(1+Assumptions!H18)*IncState!G33</f>
        <v>1.9843489690689764</v>
      </c>
      <c r="I33" s="24">
        <f>(1+Assumptions!I18)*IncState!H33</f>
        <v>2.0438794381410457</v>
      </c>
      <c r="K33" s="7" t="s">
        <v>150</v>
      </c>
    </row>
    <row r="34" spans="1:11">
      <c r="A34" s="8"/>
    </row>
    <row r="103" spans="1:9" s="14" customFormat="1">
      <c r="A103" s="7"/>
      <c r="B103" s="7"/>
      <c r="C103" s="9"/>
      <c r="D103" s="9"/>
      <c r="E103" s="7"/>
      <c r="F103" s="7"/>
      <c r="G103" s="7"/>
      <c r="H103" s="7"/>
      <c r="I103" s="7"/>
    </row>
    <row r="108" spans="1:9" s="14" customFormat="1">
      <c r="A108" s="7"/>
      <c r="B108" s="7"/>
      <c r="C108" s="9"/>
      <c r="D108" s="9"/>
      <c r="E108" s="7"/>
      <c r="F108" s="7"/>
      <c r="G108" s="7"/>
      <c r="H108" s="7"/>
      <c r="I108" s="7"/>
    </row>
    <row r="109" spans="1:9" s="14" customFormat="1">
      <c r="A109" s="7"/>
      <c r="B109" s="7"/>
      <c r="C109" s="9"/>
      <c r="D109" s="9"/>
      <c r="E109" s="7"/>
      <c r="F109" s="7"/>
      <c r="G109" s="7"/>
      <c r="H109" s="7"/>
      <c r="I109" s="7"/>
    </row>
    <row r="137" spans="1:9" s="14" customFormat="1">
      <c r="A137" s="7"/>
      <c r="B137" s="7"/>
      <c r="C137" s="9"/>
      <c r="D137" s="9"/>
      <c r="E137" s="7"/>
      <c r="F137" s="7"/>
      <c r="G137" s="7"/>
      <c r="H137" s="7"/>
      <c r="I137" s="7"/>
    </row>
    <row r="138" spans="1:9" s="14" customFormat="1">
      <c r="A138" s="7"/>
      <c r="B138" s="7"/>
      <c r="C138" s="9"/>
      <c r="D138" s="9"/>
      <c r="E138" s="7"/>
      <c r="F138" s="7"/>
      <c r="G138" s="7"/>
      <c r="H138" s="7"/>
      <c r="I138" s="7"/>
    </row>
    <row r="142" spans="1:9" s="14" customFormat="1">
      <c r="A142" s="7"/>
      <c r="B142" s="7"/>
      <c r="C142" s="9"/>
      <c r="D142" s="9"/>
      <c r="E142" s="7"/>
      <c r="F142" s="7"/>
      <c r="G142" s="7"/>
      <c r="H142" s="7"/>
      <c r="I142" s="7"/>
    </row>
    <row r="149" spans="1:9" s="14" customFormat="1">
      <c r="A149" s="7"/>
      <c r="B149" s="7"/>
      <c r="C149" s="9"/>
      <c r="D149" s="9"/>
      <c r="E149" s="7"/>
      <c r="F149" s="7"/>
      <c r="G149" s="7"/>
      <c r="H149" s="7"/>
      <c r="I149" s="7"/>
    </row>
    <row r="153" spans="1:9" s="14" customFormat="1">
      <c r="A153" s="7"/>
      <c r="B153" s="7"/>
      <c r="C153" s="9"/>
      <c r="D153" s="9"/>
      <c r="E153" s="7"/>
      <c r="F153" s="7"/>
      <c r="G153" s="7"/>
      <c r="H153" s="7"/>
      <c r="I153" s="7"/>
    </row>
    <row r="156" spans="1:9" s="14" customFormat="1">
      <c r="A156" s="7"/>
      <c r="B156" s="7"/>
      <c r="C156" s="9"/>
      <c r="D156" s="9"/>
      <c r="E156" s="7"/>
      <c r="F156" s="7"/>
      <c r="G156" s="7"/>
      <c r="H156" s="7"/>
      <c r="I156" s="7"/>
    </row>
    <row r="159" spans="1:9" s="14" customFormat="1">
      <c r="A159" s="7"/>
      <c r="B159" s="7"/>
      <c r="C159" s="9"/>
      <c r="D159" s="9"/>
      <c r="E159" s="7"/>
      <c r="F159" s="7"/>
      <c r="G159" s="7"/>
      <c r="H159" s="7"/>
      <c r="I159" s="7"/>
    </row>
    <row r="160" spans="1:9" s="14" customFormat="1">
      <c r="A160" s="7"/>
      <c r="B160" s="7"/>
      <c r="C160" s="9"/>
      <c r="D160" s="9"/>
      <c r="E160" s="7"/>
      <c r="F160" s="7"/>
      <c r="G160" s="7"/>
      <c r="H160" s="7"/>
      <c r="I160" s="7"/>
    </row>
    <row r="161" spans="1:9" s="8" customFormat="1">
      <c r="A161" s="7"/>
      <c r="B161" s="7"/>
      <c r="C161" s="9"/>
      <c r="D161" s="9"/>
      <c r="E161" s="7"/>
      <c r="F161" s="7"/>
      <c r="G161" s="7"/>
      <c r="H161" s="7"/>
      <c r="I161" s="7"/>
    </row>
    <row r="163" spans="1:9" s="8" customFormat="1">
      <c r="A163" s="7"/>
      <c r="B163" s="7"/>
      <c r="C163" s="9"/>
      <c r="D163" s="9"/>
      <c r="E163" s="7"/>
      <c r="F163" s="7"/>
      <c r="G163" s="7"/>
      <c r="H163" s="7"/>
      <c r="I163" s="7"/>
    </row>
    <row r="164" spans="1:9" s="8" customFormat="1">
      <c r="A164" s="7"/>
      <c r="B164" s="7"/>
      <c r="C164" s="9"/>
      <c r="D164" s="9"/>
      <c r="E164" s="7"/>
      <c r="F164" s="7"/>
      <c r="G164" s="7"/>
      <c r="H164" s="7"/>
      <c r="I164" s="7"/>
    </row>
    <row r="165" spans="1:9" s="8" customFormat="1">
      <c r="A165" s="7"/>
      <c r="B165" s="7"/>
      <c r="C165" s="9"/>
      <c r="D165" s="9"/>
      <c r="E165" s="7"/>
      <c r="F165" s="7"/>
      <c r="G165" s="7"/>
      <c r="H165" s="7"/>
      <c r="I165" s="7"/>
    </row>
    <row r="180" spans="1:9" s="14" customFormat="1">
      <c r="A180" s="7"/>
      <c r="B180" s="7"/>
      <c r="C180" s="9"/>
      <c r="D180" s="9"/>
      <c r="E180" s="7"/>
      <c r="F180" s="7"/>
      <c r="G180" s="7"/>
      <c r="H180" s="7"/>
      <c r="I180" s="7"/>
    </row>
    <row r="187" spans="1:9" s="14" customFormat="1">
      <c r="A187" s="7"/>
      <c r="B187" s="7"/>
      <c r="C187" s="9"/>
      <c r="D187" s="9"/>
      <c r="E187" s="7"/>
      <c r="F187" s="7"/>
      <c r="G187" s="7"/>
      <c r="H187" s="7"/>
      <c r="I187" s="7"/>
    </row>
    <row r="195" spans="1:9" s="14" customFormat="1">
      <c r="A195" s="7"/>
      <c r="B195" s="7"/>
      <c r="C195" s="9"/>
      <c r="D195" s="9"/>
      <c r="E195" s="7"/>
      <c r="F195" s="7"/>
      <c r="G195" s="7"/>
      <c r="H195" s="7"/>
      <c r="I195" s="7"/>
    </row>
    <row r="201" spans="1:9" s="14" customFormat="1">
      <c r="A201" s="7"/>
      <c r="B201" s="7"/>
      <c r="C201" s="9"/>
      <c r="D201" s="9"/>
      <c r="E201" s="7"/>
      <c r="F201" s="7"/>
      <c r="G201" s="7"/>
      <c r="H201" s="7"/>
      <c r="I201" s="7"/>
    </row>
    <row r="209" spans="1:9" s="14" customFormat="1">
      <c r="A209" s="7"/>
      <c r="B209" s="7"/>
      <c r="C209" s="9"/>
      <c r="D209" s="9"/>
      <c r="E209" s="7"/>
      <c r="F209" s="7"/>
      <c r="G209" s="7"/>
      <c r="H209" s="7"/>
      <c r="I209" s="7"/>
    </row>
    <row r="211" spans="1:9" s="14" customFormat="1">
      <c r="A211" s="7"/>
      <c r="B211" s="7"/>
      <c r="C211" s="9"/>
      <c r="D211" s="9"/>
      <c r="E211" s="7"/>
      <c r="F211" s="7"/>
      <c r="G211" s="7"/>
      <c r="H211" s="7"/>
      <c r="I211" s="7"/>
    </row>
    <row r="213" spans="1:9" s="12" customFormat="1">
      <c r="A213" s="7"/>
      <c r="B213" s="7"/>
      <c r="C213" s="9"/>
      <c r="D213" s="9"/>
      <c r="E213" s="7"/>
      <c r="F213" s="7"/>
      <c r="G213" s="7"/>
      <c r="H213" s="7"/>
      <c r="I213" s="7"/>
    </row>
    <row r="224" spans="1:9" s="14" customFormat="1">
      <c r="A224" s="7"/>
      <c r="B224" s="7"/>
      <c r="C224" s="9"/>
      <c r="D224" s="9"/>
      <c r="E224" s="7"/>
      <c r="F224" s="7"/>
      <c r="G224" s="7"/>
      <c r="H224" s="7"/>
      <c r="I224" s="7"/>
    </row>
    <row r="236" spans="1:9" s="14" customFormat="1">
      <c r="A236" s="7"/>
      <c r="B236" s="7"/>
      <c r="C236" s="9"/>
      <c r="D236" s="9"/>
      <c r="E236" s="7"/>
      <c r="F236" s="7"/>
      <c r="G236" s="7"/>
      <c r="H236" s="7"/>
      <c r="I236" s="7"/>
    </row>
    <row r="238" spans="1:9" s="14" customFormat="1">
      <c r="A238" s="7"/>
      <c r="B238" s="7"/>
      <c r="C238" s="9"/>
      <c r="D238" s="9"/>
      <c r="E238" s="7"/>
      <c r="F238" s="7"/>
      <c r="G238" s="7"/>
      <c r="H238" s="7"/>
      <c r="I238" s="7"/>
    </row>
    <row r="240" spans="1:9" s="8" customFormat="1">
      <c r="A240" s="7"/>
      <c r="B240" s="7"/>
      <c r="C240" s="9"/>
      <c r="D240" s="9"/>
      <c r="E240" s="7"/>
      <c r="F240" s="7"/>
      <c r="G240" s="7"/>
      <c r="H240" s="7"/>
      <c r="I240" s="7"/>
    </row>
  </sheetData>
  <phoneticPr fontId="0" type="noConversion"/>
  <pageMargins left="0.75" right="0.75" top="1" bottom="1" header="0.5" footer="0.5"/>
  <pageSetup scale="79" orientation="landscape" horizontalDpi="4294967292"/>
  <headerFooter alignWithMargins="0">
    <oddHeader>&amp;L&amp;8&amp;F &amp;A</oddHeader>
    <oddFooter>&amp;L&amp;8© Adkins Matchett &amp; Toy 2010&amp;R&amp;8&amp;P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8"/>
  <sheetViews>
    <sheetView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/>
    </sheetView>
  </sheetViews>
  <sheetFormatPr baseColWidth="10" defaultColWidth="8.83203125" defaultRowHeight="12" x14ac:dyDescent="0"/>
  <cols>
    <col min="1" max="1" width="1.6640625" style="7" customWidth="1"/>
    <col min="2" max="2" width="55.6640625" style="7" customWidth="1"/>
    <col min="3" max="9" width="10" style="9" customWidth="1"/>
    <col min="10" max="16384" width="8.83203125" style="7"/>
  </cols>
  <sheetData>
    <row r="1" spans="1:16" s="1" customFormat="1" ht="23.25" customHeight="1">
      <c r="A1" s="41"/>
      <c r="B1" s="41"/>
      <c r="C1" s="41" t="s">
        <v>0</v>
      </c>
      <c r="D1" s="41" t="s">
        <v>0</v>
      </c>
      <c r="E1" s="41" t="s">
        <v>1</v>
      </c>
      <c r="F1" s="41" t="s">
        <v>1</v>
      </c>
      <c r="G1" s="41" t="s">
        <v>1</v>
      </c>
      <c r="H1" s="41" t="s">
        <v>1</v>
      </c>
      <c r="I1" s="41" t="s">
        <v>1</v>
      </c>
      <c r="J1" s="41"/>
      <c r="K1" s="41"/>
      <c r="L1" s="41"/>
      <c r="M1" s="41"/>
      <c r="N1" s="41"/>
      <c r="O1" s="41"/>
      <c r="P1" s="41"/>
    </row>
    <row r="2" spans="1:16" s="44" customFormat="1" ht="19.5" customHeight="1">
      <c r="A2" s="42" t="s">
        <v>6</v>
      </c>
      <c r="B2" s="43"/>
      <c r="C2" s="41" t="s">
        <v>92</v>
      </c>
      <c r="D2" s="41" t="s">
        <v>93</v>
      </c>
      <c r="E2" s="41" t="s">
        <v>94</v>
      </c>
      <c r="F2" s="41" t="s">
        <v>95</v>
      </c>
      <c r="G2" s="41" t="s">
        <v>96</v>
      </c>
      <c r="H2" s="41" t="s">
        <v>97</v>
      </c>
      <c r="I2" s="41" t="s">
        <v>98</v>
      </c>
      <c r="J2" s="43"/>
      <c r="K2" s="45" t="s">
        <v>172</v>
      </c>
      <c r="L2" s="43"/>
      <c r="M2" s="43"/>
      <c r="N2" s="43"/>
      <c r="O2" s="43"/>
      <c r="P2" s="43"/>
    </row>
    <row r="3" spans="1:16">
      <c r="A3" s="11"/>
      <c r="B3" s="7" t="s">
        <v>100</v>
      </c>
      <c r="C3" s="19">
        <v>728</v>
      </c>
      <c r="D3" s="19">
        <v>457</v>
      </c>
      <c r="E3" s="9">
        <f>CashFlow!E24</f>
        <v>0</v>
      </c>
      <c r="F3" s="9">
        <f>CashFlow!F24</f>
        <v>0</v>
      </c>
      <c r="G3" s="9">
        <f>CashFlow!G24</f>
        <v>0</v>
      </c>
      <c r="H3" s="9">
        <f>CashFlow!H24</f>
        <v>0</v>
      </c>
      <c r="I3" s="9">
        <f>CashFlow!I24</f>
        <v>0</v>
      </c>
      <c r="K3" s="7" t="s">
        <v>176</v>
      </c>
    </row>
    <row r="4" spans="1:16">
      <c r="B4" s="7" t="s">
        <v>7</v>
      </c>
      <c r="C4" s="19">
        <v>2271</v>
      </c>
      <c r="D4" s="19">
        <v>2527</v>
      </c>
      <c r="E4" s="9">
        <f>Assumptions!E23*IncState!E7</f>
        <v>2584.4172000000003</v>
      </c>
      <c r="F4" s="9">
        <f>Assumptions!F23*IncState!F7</f>
        <v>2650.3068008</v>
      </c>
      <c r="G4" s="9">
        <f>Assumptions!G23*IncState!G7</f>
        <v>2718.052694424</v>
      </c>
      <c r="H4" s="9">
        <f>Assumptions!H23*IncState!H7</f>
        <v>2787.7126602768799</v>
      </c>
      <c r="I4" s="9">
        <f>Assumptions!I23*IncState!I7</f>
        <v>2859.3464328990362</v>
      </c>
      <c r="K4" s="7" t="s">
        <v>150</v>
      </c>
    </row>
    <row r="5" spans="1:16">
      <c r="B5" s="7" t="s">
        <v>8</v>
      </c>
      <c r="C5" s="19">
        <v>1252</v>
      </c>
      <c r="D5" s="19">
        <v>1424</v>
      </c>
      <c r="E5" s="9">
        <f>Assumptions!E24*IncState!E9</f>
        <v>1474.3550250000003</v>
      </c>
      <c r="F5" s="9">
        <f>Assumptions!F24*IncState!F9</f>
        <v>1511.9436403500001</v>
      </c>
      <c r="G5" s="9">
        <f>Assumptions!G24*IncState!G9</f>
        <v>1550.5912312605001</v>
      </c>
      <c r="H5" s="9">
        <f>Assumptions!H24*IncState!H9</f>
        <v>1590.3307596526352</v>
      </c>
      <c r="I5" s="9">
        <f>Assumptions!I24*IncState!I9</f>
        <v>1631.1963028107534</v>
      </c>
      <c r="K5" s="7" t="s">
        <v>150</v>
      </c>
    </row>
    <row r="6" spans="1:16">
      <c r="B6" s="7" t="s">
        <v>55</v>
      </c>
      <c r="C6" s="19">
        <f>958+266</f>
        <v>1224</v>
      </c>
      <c r="D6" s="19">
        <f>855+336</f>
        <v>1191</v>
      </c>
      <c r="E6" s="9">
        <f>Assumptions!E25*IncState!E7</f>
        <v>1223.4741000000001</v>
      </c>
      <c r="F6" s="9">
        <f>Assumptions!F25*IncState!F7</f>
        <v>1254.6665174</v>
      </c>
      <c r="G6" s="9">
        <f>Assumptions!G25*IncState!G7</f>
        <v>1286.7377117219999</v>
      </c>
      <c r="H6" s="9">
        <f>Assumptions!H25*IncState!H7</f>
        <v>1319.7150359821399</v>
      </c>
      <c r="I6" s="9">
        <f>Assumptions!I25*IncState!I7</f>
        <v>1353.6267687660329</v>
      </c>
    </row>
    <row r="7" spans="1:16">
      <c r="A7" s="14"/>
      <c r="B7" s="14" t="s">
        <v>10</v>
      </c>
      <c r="C7" s="20">
        <f>SUM(C3:C6)</f>
        <v>5475</v>
      </c>
      <c r="D7" s="20">
        <f>SUM(D3:D6)</f>
        <v>5599</v>
      </c>
      <c r="E7" s="20">
        <f>SUM(E3:E6)</f>
        <v>5282.246325000001</v>
      </c>
      <c r="F7" s="20">
        <f t="shared" ref="F7:I7" si="0">SUM(F3:F6)</f>
        <v>5416.9169585500003</v>
      </c>
      <c r="G7" s="20">
        <f t="shared" si="0"/>
        <v>5555.3816374065009</v>
      </c>
      <c r="H7" s="20">
        <f t="shared" si="0"/>
        <v>5697.7584559116549</v>
      </c>
      <c r="I7" s="20">
        <f t="shared" si="0"/>
        <v>5844.1695044758226</v>
      </c>
    </row>
    <row r="9" spans="1:16">
      <c r="B9" s="7" t="s">
        <v>28</v>
      </c>
      <c r="C9" s="19">
        <v>5509</v>
      </c>
      <c r="D9" s="19">
        <v>5914</v>
      </c>
      <c r="E9" s="9">
        <f>Calcs!E7</f>
        <v>6276.2636000000002</v>
      </c>
      <c r="F9" s="9">
        <f>Calcs!F7</f>
        <v>6619.4239119999993</v>
      </c>
      <c r="G9" s="9">
        <f>Calcs!G7</f>
        <v>6946.8701840239992</v>
      </c>
      <c r="H9" s="9">
        <f>Calcs!H7</f>
        <v>7261.5633211906224</v>
      </c>
      <c r="I9" s="9">
        <f>Calcs!I7</f>
        <v>7566.0941572336278</v>
      </c>
      <c r="K9" s="7" t="s">
        <v>150</v>
      </c>
    </row>
    <row r="10" spans="1:16">
      <c r="B10" s="7" t="s">
        <v>65</v>
      </c>
      <c r="C10" s="19">
        <v>548</v>
      </c>
      <c r="D10" s="19">
        <v>1232</v>
      </c>
      <c r="E10" s="9">
        <f>D10-Assumptions!E13</f>
        <v>1116</v>
      </c>
      <c r="F10" s="9">
        <f>E10-Assumptions!F13</f>
        <v>1000</v>
      </c>
      <c r="G10" s="9">
        <f>F10-Assumptions!G13</f>
        <v>884</v>
      </c>
      <c r="H10" s="9">
        <f>G10-Assumptions!H13</f>
        <v>768</v>
      </c>
      <c r="I10" s="9">
        <f>H10-Assumptions!I13</f>
        <v>652</v>
      </c>
      <c r="K10" s="7" t="s">
        <v>150</v>
      </c>
    </row>
    <row r="11" spans="1:16" s="14" customFormat="1">
      <c r="A11" s="7"/>
      <c r="B11" s="7" t="s">
        <v>79</v>
      </c>
      <c r="C11" s="19">
        <v>1231</v>
      </c>
      <c r="D11" s="19">
        <v>1705</v>
      </c>
      <c r="E11" s="9">
        <f>Assumptions!E28+BalSheet!D11</f>
        <v>1705</v>
      </c>
      <c r="F11" s="9">
        <f>Assumptions!F28+BalSheet!E11</f>
        <v>1705</v>
      </c>
      <c r="G11" s="9">
        <f>Assumptions!G28+BalSheet!F11</f>
        <v>1705</v>
      </c>
      <c r="H11" s="9">
        <f>Assumptions!H28+BalSheet!G11</f>
        <v>1705</v>
      </c>
      <c r="I11" s="9">
        <f>Assumptions!I28+BalSheet!H11</f>
        <v>1705</v>
      </c>
      <c r="K11" s="7" t="s">
        <v>150</v>
      </c>
    </row>
    <row r="12" spans="1:16">
      <c r="B12" s="7" t="s">
        <v>81</v>
      </c>
      <c r="C12" s="19">
        <v>382</v>
      </c>
      <c r="D12" s="19">
        <v>283</v>
      </c>
      <c r="E12" s="9">
        <f>Assumptions!E29*IncState!E7</f>
        <v>302.43180000000001</v>
      </c>
      <c r="F12" s="9">
        <f>Assumptions!F29*IncState!F7</f>
        <v>310.14228519999995</v>
      </c>
      <c r="G12" s="9">
        <f>Assumptions!G29*IncState!G7</f>
        <v>318.06999615599995</v>
      </c>
      <c r="H12" s="9">
        <f>Assumptions!H29*IncState!H7</f>
        <v>326.22169428771997</v>
      </c>
      <c r="I12" s="9">
        <f>Assumptions!I29*IncState!I7</f>
        <v>334.60436980733397</v>
      </c>
      <c r="K12" s="7" t="s">
        <v>150</v>
      </c>
    </row>
    <row r="13" spans="1:16">
      <c r="A13" s="14"/>
      <c r="B13" s="14" t="s">
        <v>11</v>
      </c>
      <c r="C13" s="20">
        <f>SUM(C9:C12)+C7</f>
        <v>13145</v>
      </c>
      <c r="D13" s="20">
        <f>SUM(D9:D12)+D7</f>
        <v>14733</v>
      </c>
      <c r="E13" s="20">
        <f>SUM(E9:E12)+E7</f>
        <v>14681.941725000001</v>
      </c>
      <c r="F13" s="20">
        <f t="shared" ref="F13:I13" si="1">SUM(F9:F12)+F7</f>
        <v>15051.483155749998</v>
      </c>
      <c r="G13" s="20">
        <f t="shared" si="1"/>
        <v>15409.3218175865</v>
      </c>
      <c r="H13" s="20">
        <f t="shared" si="1"/>
        <v>15758.543471389998</v>
      </c>
      <c r="I13" s="20">
        <f t="shared" si="1"/>
        <v>16101.868031516784</v>
      </c>
      <c r="K13" s="7" t="s">
        <v>150</v>
      </c>
    </row>
    <row r="15" spans="1:16">
      <c r="B15" s="7" t="s">
        <v>33</v>
      </c>
      <c r="C15" s="19">
        <f>611-3</f>
        <v>608</v>
      </c>
      <c r="D15" s="19">
        <v>500</v>
      </c>
      <c r="E15" s="9">
        <f>Debt!E53</f>
        <v>850.8477149000006</v>
      </c>
      <c r="F15" s="9">
        <f>Debt!F53</f>
        <v>1354.5495745250812</v>
      </c>
      <c r="G15" s="9">
        <f>Debt!G53</f>
        <v>1861.684828908973</v>
      </c>
      <c r="H15" s="9">
        <f>Debt!H53</f>
        <v>2374.7018885730749</v>
      </c>
      <c r="I15" s="9">
        <f>Debt!I53</f>
        <v>2894.8127095393775</v>
      </c>
      <c r="K15" s="7" t="s">
        <v>150</v>
      </c>
    </row>
    <row r="16" spans="1:16">
      <c r="B16" s="7" t="s">
        <v>12</v>
      </c>
      <c r="C16" s="19">
        <v>3832</v>
      </c>
      <c r="D16" s="19">
        <v>3906</v>
      </c>
      <c r="E16" s="9">
        <f>Assumptions!E32*IncState!E9</f>
        <v>4082.8293000000008</v>
      </c>
      <c r="F16" s="9">
        <f>Assumptions!F32*IncState!F9</f>
        <v>4186.9208502000001</v>
      </c>
      <c r="G16" s="9">
        <f>Assumptions!G32*IncState!G9</f>
        <v>4293.9449481060001</v>
      </c>
      <c r="H16" s="9">
        <f>Assumptions!H32*IncState!H9</f>
        <v>4403.9928728842206</v>
      </c>
      <c r="I16" s="9">
        <f>Assumptions!I32*IncState!I9</f>
        <v>4517.1589923990095</v>
      </c>
      <c r="K16" s="7" t="s">
        <v>150</v>
      </c>
    </row>
    <row r="17" spans="1:11">
      <c r="B17" s="7" t="s">
        <v>83</v>
      </c>
      <c r="C17" s="19">
        <v>567</v>
      </c>
      <c r="D17" s="19">
        <v>593</v>
      </c>
      <c r="E17" s="9">
        <f>Assumptions!E33*IncState!E24</f>
        <v>235.1418800999999</v>
      </c>
      <c r="F17" s="9">
        <f>Assumptions!F33*IncState!F24</f>
        <v>230.71162754891998</v>
      </c>
      <c r="G17" s="9">
        <f>Assumptions!G33*IncState!G24</f>
        <v>228.72037790500829</v>
      </c>
      <c r="H17" s="9">
        <f>Assumptions!H33*IncState!H24</f>
        <v>227.76484405968148</v>
      </c>
      <c r="I17" s="9">
        <f>Assumptions!I33*IncState!I24</f>
        <v>227.68872480138685</v>
      </c>
      <c r="K17" s="7" t="s">
        <v>150</v>
      </c>
    </row>
    <row r="18" spans="1:11">
      <c r="B18" s="7" t="s">
        <v>47</v>
      </c>
      <c r="C18" s="19">
        <f>143+24</f>
        <v>167</v>
      </c>
      <c r="D18" s="19">
        <f>142+19</f>
        <v>161</v>
      </c>
      <c r="E18" s="9">
        <f>Assumptions!E34*IncState!E7</f>
        <v>164.96280000000002</v>
      </c>
      <c r="F18" s="9">
        <f>Assumptions!F34*IncState!F7</f>
        <v>169.16851919999999</v>
      </c>
      <c r="G18" s="9">
        <f>Assumptions!G34*IncState!G7</f>
        <v>173.49272517599999</v>
      </c>
      <c r="H18" s="9">
        <f>Assumptions!H34*IncState!H7</f>
        <v>177.93910597512001</v>
      </c>
      <c r="I18" s="9">
        <f>Assumptions!I34*IncState!I7</f>
        <v>182.511474440364</v>
      </c>
      <c r="K18" s="7" t="s">
        <v>150</v>
      </c>
    </row>
    <row r="19" spans="1:11">
      <c r="A19" s="14"/>
      <c r="B19" s="14" t="s">
        <v>13</v>
      </c>
      <c r="C19" s="20">
        <f>SUM(C15:C18)</f>
        <v>5174</v>
      </c>
      <c r="D19" s="20">
        <f>SUM(D15:D18)</f>
        <v>5160</v>
      </c>
      <c r="E19" s="20">
        <f>SUM(E15:E18)</f>
        <v>5333.7816950000015</v>
      </c>
      <c r="F19" s="20">
        <f t="shared" ref="F19:I19" si="2">SUM(F15:F18)</f>
        <v>5941.3505714740004</v>
      </c>
      <c r="G19" s="20">
        <f t="shared" si="2"/>
        <v>6557.8428800959819</v>
      </c>
      <c r="H19" s="20">
        <f t="shared" si="2"/>
        <v>7184.3987114920965</v>
      </c>
      <c r="I19" s="20">
        <f t="shared" si="2"/>
        <v>7822.1719011801379</v>
      </c>
      <c r="K19" s="7" t="s">
        <v>150</v>
      </c>
    </row>
    <row r="20" spans="1:11">
      <c r="D20" s="9" t="s">
        <v>9</v>
      </c>
    </row>
    <row r="21" spans="1:11" s="14" customFormat="1">
      <c r="A21" s="7"/>
      <c r="B21" s="7" t="s">
        <v>14</v>
      </c>
      <c r="C21" s="19">
        <f>585+3</f>
        <v>588</v>
      </c>
      <c r="D21" s="10">
        <f>SUM(Debt!D54:D56)</f>
        <v>1522</v>
      </c>
      <c r="E21" s="10">
        <f>SUM(Debt!E54:E56)</f>
        <v>1272</v>
      </c>
      <c r="F21" s="10">
        <f>SUM(Debt!F54:F56)</f>
        <v>1022</v>
      </c>
      <c r="G21" s="10">
        <f>SUM(Debt!G54:G56)</f>
        <v>772</v>
      </c>
      <c r="H21" s="10">
        <f>SUM(Debt!H54:H56)</f>
        <v>522</v>
      </c>
      <c r="I21" s="10">
        <f>SUM(Debt!I54:I56)</f>
        <v>272</v>
      </c>
      <c r="K21" s="15" t="s">
        <v>150</v>
      </c>
    </row>
    <row r="22" spans="1:11">
      <c r="B22" s="7" t="s">
        <v>56</v>
      </c>
      <c r="C22" s="19">
        <v>3075</v>
      </c>
      <c r="D22" s="19">
        <v>2962</v>
      </c>
      <c r="E22" s="9">
        <f>Assumptions!E36*IncState!E7</f>
        <v>3024.3180000000002</v>
      </c>
      <c r="F22" s="9">
        <f>Assumptions!F36*IncState!F7</f>
        <v>3101.4228520000001</v>
      </c>
      <c r="G22" s="9">
        <f>Assumptions!G36*IncState!G7</f>
        <v>3180.6999615599998</v>
      </c>
      <c r="H22" s="9">
        <f>Assumptions!H36*IncState!H7</f>
        <v>3262.2169428771999</v>
      </c>
      <c r="I22" s="9">
        <f>Assumptions!I36*IncState!I7</f>
        <v>3346.0436980733402</v>
      </c>
      <c r="K22" s="15" t="s">
        <v>150</v>
      </c>
    </row>
    <row r="23" spans="1:11" s="14" customFormat="1">
      <c r="A23" s="7"/>
      <c r="B23" s="7" t="s">
        <v>57</v>
      </c>
      <c r="C23" s="19">
        <f>1083+64</f>
        <v>1147</v>
      </c>
      <c r="D23" s="19">
        <f>1032+69</f>
        <v>1101</v>
      </c>
      <c r="E23" s="9">
        <f>Assumptions!E37+BalSheet!D23</f>
        <v>1101</v>
      </c>
      <c r="F23" s="9">
        <f>Assumptions!F37+BalSheet!E23</f>
        <v>1101</v>
      </c>
      <c r="G23" s="9">
        <f>Assumptions!G37+BalSheet!F23</f>
        <v>1101</v>
      </c>
      <c r="H23" s="9">
        <f>Assumptions!H37+BalSheet!G23</f>
        <v>1101</v>
      </c>
      <c r="I23" s="9">
        <f>Assumptions!I37+BalSheet!H23</f>
        <v>1101</v>
      </c>
      <c r="K23" s="15" t="s">
        <v>150</v>
      </c>
    </row>
    <row r="24" spans="1:11">
      <c r="A24" s="14"/>
      <c r="B24" s="14" t="s">
        <v>15</v>
      </c>
      <c r="C24" s="20">
        <f>SUM(C21:C23,C19)</f>
        <v>9984</v>
      </c>
      <c r="D24" s="20">
        <f t="shared" ref="D24:I24" si="3">SUM(D21:D23,D19)</f>
        <v>10745</v>
      </c>
      <c r="E24" s="20">
        <f t="shared" si="3"/>
        <v>10731.099695000001</v>
      </c>
      <c r="F24" s="20">
        <f t="shared" si="3"/>
        <v>11165.773423474</v>
      </c>
      <c r="G24" s="20">
        <f t="shared" si="3"/>
        <v>11611.542841655981</v>
      </c>
      <c r="H24" s="20">
        <f t="shared" si="3"/>
        <v>12069.615654369296</v>
      </c>
      <c r="I24" s="20">
        <f t="shared" si="3"/>
        <v>12541.215599253479</v>
      </c>
      <c r="K24" s="15" t="s">
        <v>175</v>
      </c>
    </row>
    <row r="25" spans="1:11">
      <c r="C25" s="9" t="s">
        <v>9</v>
      </c>
      <c r="D25" s="9" t="s">
        <v>9</v>
      </c>
      <c r="K25" s="15"/>
    </row>
    <row r="26" spans="1:11" s="8" customFormat="1">
      <c r="B26" s="8" t="s">
        <v>91</v>
      </c>
      <c r="C26" s="28">
        <v>3161</v>
      </c>
      <c r="D26" s="28">
        <v>3988</v>
      </c>
      <c r="E26" s="26">
        <f>Calcs!E15</f>
        <v>3950.8420300000002</v>
      </c>
      <c r="F26" s="26">
        <f>Calcs!F15</f>
        <v>3885.7097322759996</v>
      </c>
      <c r="G26" s="26">
        <f>Calcs!G15</f>
        <v>3797.7789759305192</v>
      </c>
      <c r="H26" s="26">
        <f>Calcs!H15</f>
        <v>3688.9278170207022</v>
      </c>
      <c r="I26" s="26">
        <f>Calcs!I15</f>
        <v>3560.6524322633068</v>
      </c>
      <c r="K26" s="15" t="s">
        <v>150</v>
      </c>
    </row>
    <row r="28" spans="1:11">
      <c r="A28" s="14"/>
      <c r="B28" s="14" t="s">
        <v>16</v>
      </c>
      <c r="C28" s="20">
        <f>C26+C24</f>
        <v>13145</v>
      </c>
      <c r="D28" s="20">
        <f t="shared" ref="D28:I28" si="4">D26+D24</f>
        <v>14733</v>
      </c>
      <c r="E28" s="20">
        <f t="shared" si="4"/>
        <v>14681.941725000001</v>
      </c>
      <c r="F28" s="20">
        <f t="shared" si="4"/>
        <v>15051.48315575</v>
      </c>
      <c r="G28" s="20">
        <f t="shared" si="4"/>
        <v>15409.3218175865</v>
      </c>
      <c r="H28" s="20">
        <f t="shared" si="4"/>
        <v>15758.543471389998</v>
      </c>
      <c r="I28" s="20">
        <f t="shared" si="4"/>
        <v>16101.868031516786</v>
      </c>
      <c r="K28" s="7" t="s">
        <v>177</v>
      </c>
    </row>
    <row r="30" spans="1:11">
      <c r="A30" s="12"/>
      <c r="B30" s="12" t="s">
        <v>32</v>
      </c>
      <c r="C30" s="29">
        <f>C13-C28</f>
        <v>0</v>
      </c>
      <c r="D30" s="29">
        <f t="shared" ref="D30:I30" si="5">D13-D28</f>
        <v>0</v>
      </c>
      <c r="E30" s="29">
        <f t="shared" si="5"/>
        <v>0</v>
      </c>
      <c r="F30" s="29">
        <f t="shared" si="5"/>
        <v>0</v>
      </c>
      <c r="G30" s="29">
        <f t="shared" si="5"/>
        <v>0</v>
      </c>
      <c r="H30" s="29">
        <f t="shared" si="5"/>
        <v>0</v>
      </c>
      <c r="I30" s="29">
        <f t="shared" si="5"/>
        <v>0</v>
      </c>
      <c r="K30" s="7" t="s">
        <v>150</v>
      </c>
    </row>
    <row r="91" spans="1:9" s="14" customFormat="1">
      <c r="A91" s="7"/>
      <c r="B91" s="7"/>
      <c r="C91" s="9"/>
      <c r="D91" s="9"/>
      <c r="E91" s="9"/>
      <c r="F91" s="9"/>
      <c r="G91" s="9"/>
      <c r="H91" s="9"/>
      <c r="I91" s="9"/>
    </row>
    <row r="96" spans="1:9" s="14" customFormat="1">
      <c r="A96" s="7"/>
      <c r="B96" s="7"/>
      <c r="C96" s="9"/>
      <c r="D96" s="9"/>
      <c r="E96" s="9"/>
      <c r="F96" s="9"/>
      <c r="G96" s="9"/>
      <c r="H96" s="9"/>
      <c r="I96" s="9"/>
    </row>
    <row r="97" spans="1:9" s="14" customFormat="1">
      <c r="A97" s="7"/>
      <c r="B97" s="7"/>
      <c r="C97" s="9"/>
      <c r="D97" s="9"/>
      <c r="E97" s="9"/>
      <c r="F97" s="9"/>
      <c r="G97" s="9"/>
      <c r="H97" s="9"/>
      <c r="I97" s="9"/>
    </row>
    <row r="125" spans="1:9" s="14" customFormat="1">
      <c r="A125" s="7"/>
      <c r="B125" s="7"/>
      <c r="C125" s="9"/>
      <c r="D125" s="9"/>
      <c r="E125" s="9"/>
      <c r="F125" s="9"/>
      <c r="G125" s="9"/>
      <c r="H125" s="9"/>
      <c r="I125" s="9"/>
    </row>
    <row r="126" spans="1:9" s="14" customFormat="1">
      <c r="A126" s="7"/>
      <c r="B126" s="7"/>
      <c r="C126" s="9"/>
      <c r="D126" s="9"/>
      <c r="E126" s="9"/>
      <c r="F126" s="9"/>
      <c r="G126" s="9"/>
      <c r="H126" s="9"/>
      <c r="I126" s="9"/>
    </row>
    <row r="130" spans="1:9" s="14" customFormat="1">
      <c r="A130" s="7"/>
      <c r="B130" s="7"/>
      <c r="C130" s="9"/>
      <c r="D130" s="9"/>
      <c r="E130" s="9"/>
      <c r="F130" s="9"/>
      <c r="G130" s="9"/>
      <c r="H130" s="9"/>
      <c r="I130" s="9"/>
    </row>
    <row r="137" spans="1:9" s="14" customFormat="1">
      <c r="A137" s="7"/>
      <c r="B137" s="7"/>
      <c r="C137" s="9"/>
      <c r="D137" s="9"/>
      <c r="E137" s="9"/>
      <c r="F137" s="9"/>
      <c r="G137" s="9"/>
      <c r="H137" s="9"/>
      <c r="I137" s="9"/>
    </row>
    <row r="141" spans="1:9" s="14" customFormat="1">
      <c r="A141" s="7"/>
      <c r="B141" s="7"/>
      <c r="C141" s="9"/>
      <c r="D141" s="9"/>
      <c r="E141" s="9"/>
      <c r="F141" s="9"/>
      <c r="G141" s="9"/>
      <c r="H141" s="9"/>
      <c r="I141" s="9"/>
    </row>
    <row r="144" spans="1:9" s="14" customFormat="1">
      <c r="A144" s="7"/>
      <c r="B144" s="7"/>
      <c r="C144" s="9"/>
      <c r="D144" s="9"/>
      <c r="E144" s="9"/>
      <c r="F144" s="9"/>
      <c r="G144" s="9"/>
      <c r="H144" s="9"/>
      <c r="I144" s="9"/>
    </row>
    <row r="147" spans="1:9" s="14" customFormat="1">
      <c r="A147" s="7"/>
      <c r="B147" s="7"/>
      <c r="C147" s="9"/>
      <c r="D147" s="9"/>
      <c r="E147" s="9"/>
      <c r="F147" s="9"/>
      <c r="G147" s="9"/>
      <c r="H147" s="9"/>
      <c r="I147" s="9"/>
    </row>
    <row r="148" spans="1:9" s="14" customFormat="1">
      <c r="A148" s="7"/>
      <c r="B148" s="7"/>
      <c r="C148" s="9"/>
      <c r="D148" s="9"/>
      <c r="E148" s="9"/>
      <c r="F148" s="9"/>
      <c r="G148" s="9"/>
      <c r="H148" s="9"/>
      <c r="I148" s="9"/>
    </row>
    <row r="149" spans="1:9" s="8" customFormat="1">
      <c r="A149" s="7"/>
      <c r="B149" s="7"/>
      <c r="C149" s="9"/>
      <c r="D149" s="9"/>
      <c r="E149" s="9"/>
      <c r="F149" s="9"/>
      <c r="G149" s="9"/>
      <c r="H149" s="9"/>
      <c r="I149" s="9"/>
    </row>
    <row r="151" spans="1:9" s="8" customFormat="1">
      <c r="A151" s="7"/>
      <c r="B151" s="7"/>
      <c r="C151" s="9"/>
      <c r="D151" s="9"/>
      <c r="E151" s="9"/>
      <c r="F151" s="9"/>
      <c r="G151" s="9"/>
      <c r="H151" s="9"/>
      <c r="I151" s="9"/>
    </row>
    <row r="152" spans="1:9" s="8" customFormat="1">
      <c r="A152" s="7"/>
      <c r="B152" s="7"/>
      <c r="C152" s="9"/>
      <c r="D152" s="9"/>
      <c r="E152" s="9"/>
      <c r="F152" s="9"/>
      <c r="G152" s="9"/>
      <c r="H152" s="9"/>
      <c r="I152" s="9"/>
    </row>
    <row r="153" spans="1:9" s="8" customFormat="1">
      <c r="A153" s="7"/>
      <c r="B153" s="7"/>
      <c r="C153" s="9"/>
      <c r="D153" s="9"/>
      <c r="E153" s="9"/>
      <c r="F153" s="9"/>
      <c r="G153" s="9"/>
      <c r="H153" s="9"/>
      <c r="I153" s="9"/>
    </row>
    <row r="168" spans="1:9" s="14" customFormat="1">
      <c r="A168" s="7"/>
      <c r="B168" s="7"/>
      <c r="C168" s="9"/>
      <c r="D168" s="9"/>
      <c r="E168" s="9"/>
      <c r="F168" s="9"/>
      <c r="G168" s="9"/>
      <c r="H168" s="9"/>
      <c r="I168" s="9"/>
    </row>
    <row r="175" spans="1:9" s="14" customFormat="1">
      <c r="A175" s="7"/>
      <c r="B175" s="7"/>
      <c r="C175" s="9"/>
      <c r="D175" s="9"/>
      <c r="E175" s="9"/>
      <c r="F175" s="9"/>
      <c r="G175" s="9"/>
      <c r="H175" s="9"/>
      <c r="I175" s="9"/>
    </row>
    <row r="183" spans="1:9" s="14" customFormat="1">
      <c r="A183" s="7"/>
      <c r="B183" s="7"/>
      <c r="C183" s="9"/>
      <c r="D183" s="9"/>
      <c r="E183" s="9"/>
      <c r="F183" s="9"/>
      <c r="G183" s="9"/>
      <c r="H183" s="9"/>
      <c r="I183" s="9"/>
    </row>
    <row r="189" spans="1:9" s="14" customFormat="1">
      <c r="A189" s="7"/>
      <c r="B189" s="7"/>
      <c r="C189" s="9"/>
      <c r="D189" s="9"/>
      <c r="E189" s="9"/>
      <c r="F189" s="9"/>
      <c r="G189" s="9"/>
      <c r="H189" s="9"/>
      <c r="I189" s="9"/>
    </row>
    <row r="197" spans="1:9" s="14" customFormat="1">
      <c r="A197" s="7"/>
      <c r="B197" s="7"/>
      <c r="C197" s="9"/>
      <c r="D197" s="9"/>
      <c r="E197" s="9"/>
      <c r="F197" s="9"/>
      <c r="G197" s="9"/>
      <c r="H197" s="9"/>
      <c r="I197" s="9"/>
    </row>
    <row r="199" spans="1:9" s="14" customFormat="1">
      <c r="A199" s="7"/>
      <c r="B199" s="7"/>
      <c r="C199" s="9"/>
      <c r="D199" s="9"/>
      <c r="E199" s="9"/>
      <c r="F199" s="9"/>
      <c r="G199" s="9"/>
      <c r="H199" s="9"/>
      <c r="I199" s="9"/>
    </row>
    <row r="201" spans="1:9" s="12" customFormat="1">
      <c r="A201" s="7"/>
      <c r="B201" s="7"/>
      <c r="C201" s="9"/>
      <c r="D201" s="9"/>
      <c r="E201" s="9"/>
      <c r="F201" s="9"/>
      <c r="G201" s="9"/>
      <c r="H201" s="9"/>
      <c r="I201" s="9"/>
    </row>
    <row r="212" spans="1:9" s="14" customFormat="1">
      <c r="A212" s="7"/>
      <c r="B212" s="7"/>
      <c r="C212" s="9"/>
      <c r="D212" s="9"/>
      <c r="E212" s="9"/>
      <c r="F212" s="9"/>
      <c r="G212" s="9"/>
      <c r="H212" s="9"/>
      <c r="I212" s="9"/>
    </row>
    <row r="224" spans="1:9" s="14" customFormat="1">
      <c r="A224" s="7"/>
      <c r="B224" s="7"/>
      <c r="C224" s="9"/>
      <c r="D224" s="9"/>
      <c r="E224" s="9"/>
      <c r="F224" s="9"/>
      <c r="G224" s="9"/>
      <c r="H224" s="9"/>
      <c r="I224" s="9"/>
    </row>
    <row r="226" spans="1:9" s="14" customFormat="1">
      <c r="A226" s="7"/>
      <c r="B226" s="7"/>
      <c r="C226" s="9"/>
      <c r="D226" s="9"/>
      <c r="E226" s="9"/>
      <c r="F226" s="9"/>
      <c r="G226" s="9"/>
      <c r="H226" s="9"/>
      <c r="I226" s="9"/>
    </row>
    <row r="228" spans="1:9" s="8" customFormat="1">
      <c r="A228" s="7"/>
      <c r="B228" s="7"/>
      <c r="C228" s="9"/>
      <c r="D228" s="9"/>
      <c r="E228" s="9"/>
      <c r="F228" s="9"/>
      <c r="G228" s="9"/>
      <c r="H228" s="9"/>
      <c r="I228" s="9"/>
    </row>
  </sheetData>
  <phoneticPr fontId="0" type="noConversion"/>
  <pageMargins left="0.75" right="0.75" top="1" bottom="1" header="0.5" footer="0.5"/>
  <pageSetup scale="79" orientation="landscape" horizontalDpi="4294967292"/>
  <headerFooter alignWithMargins="0">
    <oddHeader>&amp;L&amp;8&amp;F &amp;A</oddHeader>
    <oddFooter>&amp;L&amp;8© Adkins Matchett &amp; Toy 2010&amp;R&amp;8&amp;P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"/>
  <sheetViews>
    <sheetView workbookViewId="0">
      <pane xSplit="2" ySplit="2" topLeftCell="C3" activePane="bottomRight" state="frozen"/>
      <selection activeCell="A2" sqref="A2"/>
      <selection pane="topRight" activeCell="A2" sqref="A2"/>
      <selection pane="bottomLeft" activeCell="A2" sqref="A2"/>
      <selection pane="bottomRight"/>
    </sheetView>
  </sheetViews>
  <sheetFormatPr baseColWidth="10" defaultColWidth="8.83203125" defaultRowHeight="12" x14ac:dyDescent="0"/>
  <cols>
    <col min="1" max="1" width="1.6640625" style="7" customWidth="1"/>
    <col min="2" max="2" width="55.6640625" style="7" customWidth="1"/>
    <col min="3" max="9" width="10" style="7" customWidth="1"/>
    <col min="10" max="16384" width="8.83203125" style="7"/>
  </cols>
  <sheetData>
    <row r="1" spans="1:16" s="1" customFormat="1" ht="23.25" customHeight="1">
      <c r="A1" s="41"/>
      <c r="B1" s="41"/>
      <c r="C1" s="41" t="s">
        <v>0</v>
      </c>
      <c r="D1" s="41" t="s">
        <v>0</v>
      </c>
      <c r="E1" s="41" t="s">
        <v>1</v>
      </c>
      <c r="F1" s="41" t="s">
        <v>1</v>
      </c>
      <c r="G1" s="41" t="s">
        <v>1</v>
      </c>
      <c r="H1" s="41" t="s">
        <v>1</v>
      </c>
      <c r="I1" s="41" t="s">
        <v>1</v>
      </c>
      <c r="J1" s="41"/>
      <c r="K1" s="41"/>
      <c r="L1" s="41"/>
      <c r="M1" s="41"/>
      <c r="N1" s="41"/>
      <c r="O1" s="41"/>
      <c r="P1" s="41"/>
    </row>
    <row r="2" spans="1:16" s="44" customFormat="1" ht="19.5" customHeight="1">
      <c r="A2" s="42" t="s">
        <v>23</v>
      </c>
      <c r="B2" s="43"/>
      <c r="C2" s="41" t="s">
        <v>92</v>
      </c>
      <c r="D2" s="41" t="s">
        <v>93</v>
      </c>
      <c r="E2" s="41" t="s">
        <v>94</v>
      </c>
      <c r="F2" s="41" t="s">
        <v>95</v>
      </c>
      <c r="G2" s="41" t="s">
        <v>96</v>
      </c>
      <c r="H2" s="41" t="s">
        <v>97</v>
      </c>
      <c r="I2" s="41" t="s">
        <v>98</v>
      </c>
      <c r="J2" s="43"/>
      <c r="K2" s="45" t="s">
        <v>172</v>
      </c>
      <c r="L2" s="43"/>
      <c r="M2" s="43"/>
      <c r="N2" s="43"/>
      <c r="O2" s="43"/>
      <c r="P2" s="43"/>
    </row>
    <row r="3" spans="1:16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>
      <c r="A4" s="15"/>
      <c r="B4" s="15" t="s">
        <v>123</v>
      </c>
      <c r="C4" s="15"/>
      <c r="D4" s="15"/>
      <c r="E4" s="15">
        <f>IncState!E25</f>
        <v>549.9420299999997</v>
      </c>
      <c r="F4" s="15">
        <f>IncState!F25</f>
        <v>539.58070227600001</v>
      </c>
      <c r="G4" s="15">
        <f>IncState!G25</f>
        <v>534.92363365451968</v>
      </c>
      <c r="H4" s="15">
        <f>IncState!H25</f>
        <v>532.68886279018352</v>
      </c>
      <c r="I4" s="15">
        <f>IncState!I25</f>
        <v>532.51083759360495</v>
      </c>
      <c r="J4" s="15"/>
      <c r="K4" s="15" t="s">
        <v>154</v>
      </c>
      <c r="L4" s="15"/>
      <c r="M4" s="15"/>
      <c r="N4" s="15"/>
      <c r="O4" s="15"/>
      <c r="P4" s="15"/>
    </row>
    <row r="5" spans="1:16">
      <c r="A5" s="15"/>
      <c r="B5" s="15" t="s">
        <v>20</v>
      </c>
      <c r="C5" s="15"/>
      <c r="D5" s="15"/>
      <c r="E5" s="15">
        <f>Calcs!E6</f>
        <v>792.476</v>
      </c>
      <c r="F5" s="15">
        <f>Calcs!F6</f>
        <v>841.01932240000008</v>
      </c>
      <c r="G5" s="15">
        <f>Calcs!G6</f>
        <v>887.00280420799993</v>
      </c>
      <c r="H5" s="15">
        <f>Calcs!H6</f>
        <v>930.88060465921592</v>
      </c>
      <c r="I5" s="15">
        <f>Calcs!I6</f>
        <v>973.04948503954347</v>
      </c>
      <c r="J5" s="15"/>
      <c r="K5" s="15" t="s">
        <v>155</v>
      </c>
      <c r="L5" s="15"/>
      <c r="M5" s="15"/>
      <c r="N5" s="15"/>
      <c r="O5" s="15"/>
      <c r="P5" s="15"/>
    </row>
    <row r="6" spans="1:16" s="14" customFormat="1">
      <c r="A6" s="15"/>
      <c r="B6" s="15" t="s">
        <v>126</v>
      </c>
      <c r="C6" s="15"/>
      <c r="D6" s="15"/>
      <c r="E6" s="15">
        <f>Assumptions!E13</f>
        <v>116</v>
      </c>
      <c r="F6" s="15">
        <f>Assumptions!F13</f>
        <v>116</v>
      </c>
      <c r="G6" s="15">
        <f>Assumptions!G13</f>
        <v>116</v>
      </c>
      <c r="H6" s="15">
        <f>Assumptions!H13</f>
        <v>116</v>
      </c>
      <c r="I6" s="15">
        <f>Assumptions!I13</f>
        <v>116</v>
      </c>
      <c r="K6" s="15" t="s">
        <v>156</v>
      </c>
    </row>
    <row r="7" spans="1:16">
      <c r="A7" s="15"/>
      <c r="B7" s="15" t="s">
        <v>127</v>
      </c>
      <c r="C7" s="15"/>
      <c r="D7" s="15"/>
      <c r="E7" s="15">
        <f>Calcs!D29-Calcs!E29</f>
        <v>-317.31234490000043</v>
      </c>
      <c r="F7" s="15">
        <f>Calcs!E29-Calcs!F29</f>
        <v>-30.8036167010805</v>
      </c>
      <c r="G7" s="15">
        <f>Calcs!F29-Calcs!G29</f>
        <v>-29.107624618411137</v>
      </c>
      <c r="H7" s="15">
        <f>Calcs!G29-Calcs!H29</f>
        <v>-28.838046773141286</v>
      </c>
      <c r="I7" s="15">
        <f>Calcs!H29-Calcs!I29</f>
        <v>-28.748679842428828</v>
      </c>
      <c r="J7" s="15"/>
      <c r="K7" s="15" t="s">
        <v>157</v>
      </c>
      <c r="L7" s="15"/>
      <c r="M7" s="15"/>
      <c r="N7" s="15"/>
      <c r="O7" s="15"/>
      <c r="P7" s="15"/>
    </row>
    <row r="8" spans="1:16">
      <c r="A8" s="14"/>
      <c r="B8" s="15" t="s">
        <v>131</v>
      </c>
      <c r="C8" s="15"/>
      <c r="D8" s="15"/>
      <c r="E8" s="15">
        <f>BalSheet!D12-BalSheet!E12</f>
        <v>-19.43180000000001</v>
      </c>
      <c r="F8" s="15">
        <f>BalSheet!E12-BalSheet!F12</f>
        <v>-7.7104851999999369</v>
      </c>
      <c r="G8" s="15">
        <f>BalSheet!F12-BalSheet!G12</f>
        <v>-7.9277109559999985</v>
      </c>
      <c r="H8" s="15">
        <f>BalSheet!G12-BalSheet!H12</f>
        <v>-8.1516981317200248</v>
      </c>
      <c r="I8" s="15">
        <f>BalSheet!H12-BalSheet!I12</f>
        <v>-8.382675519613997</v>
      </c>
      <c r="J8" s="15"/>
      <c r="K8" s="15" t="s">
        <v>158</v>
      </c>
      <c r="L8" s="15"/>
      <c r="M8" s="15"/>
      <c r="N8" s="15"/>
      <c r="O8" s="15"/>
      <c r="P8" s="15"/>
    </row>
    <row r="9" spans="1:16">
      <c r="A9" s="15"/>
      <c r="B9" s="15" t="s">
        <v>132</v>
      </c>
      <c r="C9" s="14"/>
      <c r="D9" s="14"/>
      <c r="E9" s="15">
        <f>BalSheet!E22-BalSheet!D22</f>
        <v>62.318000000000211</v>
      </c>
      <c r="F9" s="15">
        <f>BalSheet!F22-BalSheet!E22</f>
        <v>77.104851999999937</v>
      </c>
      <c r="G9" s="15">
        <f>BalSheet!G22-BalSheet!F22</f>
        <v>79.277109559999644</v>
      </c>
      <c r="H9" s="15">
        <f>BalSheet!H22-BalSheet!G22</f>
        <v>81.516981317200134</v>
      </c>
      <c r="I9" s="15">
        <f>BalSheet!I22-BalSheet!H22</f>
        <v>83.826755196140311</v>
      </c>
      <c r="J9" s="15"/>
      <c r="K9" s="15" t="s">
        <v>159</v>
      </c>
      <c r="L9" s="15"/>
      <c r="M9" s="15"/>
      <c r="N9" s="15"/>
      <c r="O9" s="15"/>
      <c r="P9" s="15"/>
    </row>
    <row r="10" spans="1:16" s="14" customFormat="1">
      <c r="A10" s="15"/>
      <c r="B10" s="14" t="s">
        <v>133</v>
      </c>
      <c r="C10" s="15"/>
      <c r="D10" s="15"/>
      <c r="E10" s="14">
        <f>SUM(E4:E9)</f>
        <v>1183.9918850999995</v>
      </c>
      <c r="F10" s="14">
        <f>SUM(F4:F9)</f>
        <v>1535.1907747749194</v>
      </c>
      <c r="G10" s="14">
        <f>SUM(G4:G9)</f>
        <v>1580.1682118481081</v>
      </c>
      <c r="H10" s="14">
        <f>SUM(H4:H9)</f>
        <v>1624.0967038617382</v>
      </c>
      <c r="I10" s="14">
        <f>SUM(I4:I9)</f>
        <v>1668.255722467246</v>
      </c>
      <c r="K10" s="15" t="s">
        <v>150</v>
      </c>
    </row>
    <row r="11" spans="1:16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>
      <c r="A12" s="15"/>
      <c r="B12" s="15" t="s">
        <v>134</v>
      </c>
      <c r="C12" s="15"/>
      <c r="D12" s="15"/>
      <c r="E12" s="15">
        <f>-Calcs!E5</f>
        <v>-1154.7396000000001</v>
      </c>
      <c r="F12" s="15">
        <f>-Calcs!F5</f>
        <v>-1184.1796343999999</v>
      </c>
      <c r="G12" s="15">
        <f>-Calcs!G5</f>
        <v>-1214.4490762319999</v>
      </c>
      <c r="H12" s="15">
        <f>-Calcs!H5</f>
        <v>-1245.57374182584</v>
      </c>
      <c r="I12" s="15">
        <f>-Calcs!I5</f>
        <v>-1277.5803210825482</v>
      </c>
      <c r="J12" s="15"/>
      <c r="K12" s="15" t="s">
        <v>163</v>
      </c>
      <c r="L12" s="15"/>
      <c r="M12" s="15"/>
      <c r="N12" s="15"/>
      <c r="O12" s="15"/>
      <c r="P12" s="15"/>
    </row>
    <row r="13" spans="1:16">
      <c r="A13" s="15"/>
      <c r="B13" s="14" t="s">
        <v>136</v>
      </c>
      <c r="C13" s="15"/>
      <c r="D13" s="15"/>
      <c r="E13" s="14">
        <f>SUM(E12:E12)</f>
        <v>-1154.7396000000001</v>
      </c>
      <c r="F13" s="14">
        <f>SUM(F12:F12)</f>
        <v>-1184.1796343999999</v>
      </c>
      <c r="G13" s="14">
        <f>SUM(G12:G12)</f>
        <v>-1214.4490762319999</v>
      </c>
      <c r="H13" s="14">
        <f>SUM(H12:H12)</f>
        <v>-1245.57374182584</v>
      </c>
      <c r="I13" s="14">
        <f>SUM(I12:I12)</f>
        <v>-1277.5803210825482</v>
      </c>
      <c r="J13" s="15"/>
      <c r="K13" s="15" t="s">
        <v>150</v>
      </c>
      <c r="L13" s="15"/>
      <c r="M13" s="15"/>
      <c r="N13" s="15"/>
      <c r="O13" s="15"/>
      <c r="P13" s="15"/>
    </row>
    <row r="14" spans="1:16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>
      <c r="A15" s="15"/>
      <c r="B15" s="15" t="s">
        <v>124</v>
      </c>
      <c r="C15" s="14"/>
      <c r="D15" s="14"/>
      <c r="E15" s="15">
        <f>-IncState!E30</f>
        <v>-587.1</v>
      </c>
      <c r="F15" s="15">
        <f>-IncState!F30</f>
        <v>-604.71300000000008</v>
      </c>
      <c r="G15" s="15">
        <f>-IncState!G30</f>
        <v>-622.85439000000008</v>
      </c>
      <c r="H15" s="15">
        <f>-IncState!H30</f>
        <v>-641.54002170000012</v>
      </c>
      <c r="I15" s="15">
        <f>-IncState!I30</f>
        <v>-660.78622235100011</v>
      </c>
      <c r="J15" s="15"/>
      <c r="K15" s="15" t="s">
        <v>165</v>
      </c>
      <c r="L15" s="15"/>
      <c r="M15" s="15"/>
      <c r="N15" s="15"/>
      <c r="O15" s="15"/>
      <c r="P15" s="15"/>
    </row>
    <row r="16" spans="1:16" s="14" customFormat="1">
      <c r="B16" s="15" t="s">
        <v>160</v>
      </c>
      <c r="C16" s="15"/>
      <c r="D16" s="15"/>
      <c r="E16" s="15">
        <f>BalSheet!E15-BalSheet!D15</f>
        <v>350.8477149000006</v>
      </c>
      <c r="F16" s="15">
        <f>BalSheet!F15-BalSheet!E15</f>
        <v>503.7018596250806</v>
      </c>
      <c r="G16" s="15">
        <f>BalSheet!G15-BalSheet!F15</f>
        <v>507.13525438389183</v>
      </c>
      <c r="H16" s="15">
        <f>BalSheet!H15-BalSheet!G15</f>
        <v>513.01705966410191</v>
      </c>
      <c r="I16" s="15">
        <f>BalSheet!I15-BalSheet!H15</f>
        <v>520.11082096630253</v>
      </c>
      <c r="K16" s="15" t="s">
        <v>162</v>
      </c>
    </row>
    <row r="17" spans="1:16">
      <c r="A17" s="15"/>
      <c r="B17" s="15" t="s">
        <v>161</v>
      </c>
      <c r="C17" s="14"/>
      <c r="D17" s="14"/>
      <c r="E17" s="15">
        <f>BalSheet!E21-BalSheet!D21</f>
        <v>-250</v>
      </c>
      <c r="F17" s="15">
        <f>BalSheet!F21-BalSheet!E21</f>
        <v>-250</v>
      </c>
      <c r="G17" s="15">
        <f>BalSheet!G21-BalSheet!F21</f>
        <v>-250</v>
      </c>
      <c r="H17" s="15">
        <f>BalSheet!H21-BalSheet!G21</f>
        <v>-250</v>
      </c>
      <c r="I17" s="15">
        <f>BalSheet!I21-BalSheet!H21</f>
        <v>-250</v>
      </c>
      <c r="J17" s="15"/>
      <c r="K17" s="15" t="s">
        <v>178</v>
      </c>
      <c r="L17" s="15"/>
      <c r="M17" s="15"/>
      <c r="N17" s="15"/>
      <c r="O17" s="15"/>
      <c r="P17" s="15"/>
    </row>
    <row r="18" spans="1:16">
      <c r="A18" s="14"/>
      <c r="B18" s="14" t="s">
        <v>135</v>
      </c>
      <c r="C18" s="15"/>
      <c r="D18" s="15"/>
      <c r="E18" s="14">
        <f>SUM(E15:E17)</f>
        <v>-486.25228509999943</v>
      </c>
      <c r="F18" s="14">
        <f t="shared" ref="F18:I18" si="0">SUM(F15:F17)</f>
        <v>-351.01114037491948</v>
      </c>
      <c r="G18" s="14">
        <f t="shared" si="0"/>
        <v>-365.71913561610825</v>
      </c>
      <c r="H18" s="14">
        <f t="shared" si="0"/>
        <v>-378.52296203589822</v>
      </c>
      <c r="I18" s="14">
        <f t="shared" si="0"/>
        <v>-390.67540138469758</v>
      </c>
      <c r="J18" s="14"/>
      <c r="K18" s="15" t="s">
        <v>150</v>
      </c>
      <c r="L18" s="15"/>
      <c r="M18" s="15"/>
      <c r="N18" s="15"/>
      <c r="O18" s="15"/>
      <c r="P18" s="15"/>
    </row>
    <row r="19" spans="1:16">
      <c r="A19" s="15"/>
      <c r="B19" s="14"/>
      <c r="C19" s="14"/>
      <c r="D19" s="14"/>
      <c r="E19" s="14"/>
      <c r="F19" s="14"/>
      <c r="G19" s="14"/>
      <c r="H19" s="14"/>
      <c r="I19" s="14"/>
      <c r="J19" s="15"/>
      <c r="K19" s="15"/>
      <c r="L19" s="15"/>
      <c r="M19" s="15"/>
      <c r="N19" s="15"/>
      <c r="O19" s="15"/>
      <c r="P19" s="15"/>
    </row>
    <row r="20" spans="1:16" s="14" customFormat="1">
      <c r="A20" s="11"/>
      <c r="B20" s="14" t="s">
        <v>137</v>
      </c>
      <c r="C20" s="15"/>
      <c r="D20" s="15"/>
      <c r="E20" s="14">
        <f>E10+E13+E18</f>
        <v>-457</v>
      </c>
      <c r="F20" s="14">
        <f>F10+F13+F18</f>
        <v>0</v>
      </c>
      <c r="G20" s="14">
        <f>G10+G13+G18</f>
        <v>0</v>
      </c>
      <c r="H20" s="14">
        <f>H10+H13+H18</f>
        <v>0</v>
      </c>
      <c r="I20" s="14">
        <f>I10+I13+I18</f>
        <v>0</v>
      </c>
      <c r="J20" s="15"/>
      <c r="K20" s="15" t="s">
        <v>150</v>
      </c>
    </row>
    <row r="21" spans="1:16">
      <c r="A21" s="22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s="14" customFormat="1">
      <c r="A22" s="22"/>
      <c r="B22" s="15" t="s">
        <v>138</v>
      </c>
      <c r="C22" s="15"/>
      <c r="D22" s="15"/>
      <c r="E22" s="15">
        <f>D24</f>
        <v>457</v>
      </c>
      <c r="F22" s="15">
        <f t="shared" ref="F22" si="1">E24</f>
        <v>0</v>
      </c>
      <c r="G22" s="15">
        <f t="shared" ref="G22" si="2">F24</f>
        <v>0</v>
      </c>
      <c r="H22" s="15">
        <f t="shared" ref="H22" si="3">G24</f>
        <v>0</v>
      </c>
      <c r="I22" s="15">
        <f t="shared" ref="I22" si="4">H24</f>
        <v>0</v>
      </c>
      <c r="K22" s="15" t="s">
        <v>150</v>
      </c>
    </row>
    <row r="23" spans="1:16">
      <c r="A23" s="22"/>
      <c r="B23" s="15" t="s">
        <v>137</v>
      </c>
      <c r="C23" s="15"/>
      <c r="D23" s="27"/>
      <c r="E23" s="15">
        <f>E20</f>
        <v>-457</v>
      </c>
      <c r="F23" s="15">
        <f t="shared" ref="F23:I23" si="5">F20</f>
        <v>0</v>
      </c>
      <c r="G23" s="15">
        <f t="shared" si="5"/>
        <v>0</v>
      </c>
      <c r="H23" s="15">
        <f t="shared" si="5"/>
        <v>0</v>
      </c>
      <c r="I23" s="15">
        <f t="shared" si="5"/>
        <v>0</v>
      </c>
      <c r="J23" s="15"/>
      <c r="K23" s="15" t="s">
        <v>150</v>
      </c>
      <c r="L23" s="15"/>
      <c r="M23" s="15"/>
      <c r="N23" s="15"/>
      <c r="O23" s="15"/>
      <c r="P23" s="15"/>
    </row>
    <row r="24" spans="1:16">
      <c r="A24" s="15"/>
      <c r="B24" s="15" t="s">
        <v>139</v>
      </c>
      <c r="C24" s="15"/>
      <c r="D24" s="15">
        <f>BalSheet!D3</f>
        <v>457</v>
      </c>
      <c r="E24" s="15">
        <f>SUM(E22:E23)</f>
        <v>0</v>
      </c>
      <c r="F24" s="15">
        <f t="shared" ref="F24:I24" si="6">SUM(F22:F23)</f>
        <v>0</v>
      </c>
      <c r="G24" s="15">
        <f t="shared" si="6"/>
        <v>0</v>
      </c>
      <c r="H24" s="15">
        <f t="shared" si="6"/>
        <v>0</v>
      </c>
      <c r="I24" s="15">
        <f t="shared" si="6"/>
        <v>0</v>
      </c>
      <c r="J24" s="15"/>
      <c r="K24" s="15" t="s">
        <v>169</v>
      </c>
      <c r="L24" s="15"/>
      <c r="M24" s="15"/>
      <c r="N24" s="15"/>
      <c r="O24" s="15"/>
      <c r="P24" s="15"/>
    </row>
    <row r="25" spans="1:1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>
      <c r="A26" s="15"/>
      <c r="B26" s="12" t="s">
        <v>101</v>
      </c>
      <c r="C26" s="15"/>
      <c r="D26" s="15"/>
      <c r="E26" s="12">
        <f>E10+E13+E15</f>
        <v>-557.8477149000006</v>
      </c>
      <c r="F26" s="12">
        <f t="shared" ref="F26:I26" si="7">F10+F13+F15</f>
        <v>-253.7018596250806</v>
      </c>
      <c r="G26" s="12">
        <f t="shared" si="7"/>
        <v>-257.13525438389195</v>
      </c>
      <c r="H26" s="12">
        <f t="shared" si="7"/>
        <v>-263.01705966410191</v>
      </c>
      <c r="I26" s="12">
        <f t="shared" si="7"/>
        <v>-270.1108209663023</v>
      </c>
      <c r="J26" s="15"/>
      <c r="K26" s="15" t="s">
        <v>164</v>
      </c>
      <c r="L26" s="15"/>
      <c r="M26" s="15"/>
      <c r="N26" s="15"/>
      <c r="O26" s="15"/>
      <c r="P26" s="15"/>
    </row>
    <row r="27" spans="1:1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</row>
    <row r="38" spans="1:1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</row>
    <row r="39" spans="1:1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</row>
    <row r="40" spans="1:1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</row>
    <row r="41" spans="1:16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</row>
    <row r="42" spans="1:1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</row>
    <row r="43" spans="1:1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</row>
    <row r="44" spans="1:1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</row>
    <row r="45" spans="1:1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</row>
    <row r="46" spans="1:1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1:1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48" spans="1:1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</row>
    <row r="49" spans="1:1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</row>
    <row r="50" spans="1:1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</row>
    <row r="51" spans="1:1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</row>
    <row r="52" spans="1:1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</row>
    <row r="53" spans="1:1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</row>
    <row r="54" spans="1:16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</row>
    <row r="55" spans="1:16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</row>
    <row r="56" spans="1:1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</row>
    <row r="57" spans="1:16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</row>
    <row r="58" spans="1:16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</row>
    <row r="59" spans="1:16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</row>
    <row r="60" spans="1:16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</row>
    <row r="61" spans="1:16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</row>
    <row r="62" spans="1:16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</row>
    <row r="63" spans="1:16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</row>
    <row r="64" spans="1:16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</row>
    <row r="65" spans="1:16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</row>
    <row r="66" spans="1:1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</row>
    <row r="67" spans="1:16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</row>
    <row r="68" spans="1:16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</row>
    <row r="69" spans="1:16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</row>
    <row r="70" spans="1:1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</row>
    <row r="71" spans="1:1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</row>
    <row r="72" spans="1:1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</row>
    <row r="73" spans="1:1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</row>
    <row r="74" spans="1:1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</row>
    <row r="75" spans="1:1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</row>
    <row r="76" spans="1:1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</row>
    <row r="77" spans="1:1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</row>
    <row r="78" spans="1:1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</row>
    <row r="79" spans="1:1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</row>
    <row r="80" spans="1:1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</row>
    <row r="81" spans="1:1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</row>
    <row r="82" spans="1:1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</row>
    <row r="83" spans="1:1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</row>
    <row r="84" spans="1:1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</row>
    <row r="85" spans="1:1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</row>
    <row r="86" spans="1:1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</row>
    <row r="88" spans="1:1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</row>
    <row r="89" spans="1:1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</row>
    <row r="90" spans="1:1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s="14" customFormat="1">
      <c r="A93" s="15"/>
      <c r="B93" s="15"/>
      <c r="C93" s="15"/>
      <c r="D93" s="15"/>
      <c r="E93" s="15"/>
      <c r="F93" s="15"/>
      <c r="G93" s="15"/>
      <c r="H93" s="15"/>
      <c r="I93" s="15"/>
    </row>
    <row r="94" spans="1:1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1:1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 spans="1:16" s="14" customFormat="1">
      <c r="A98" s="15"/>
      <c r="B98" s="15"/>
      <c r="C98" s="15"/>
      <c r="D98" s="15"/>
      <c r="E98" s="15"/>
      <c r="F98" s="15"/>
      <c r="G98" s="15"/>
      <c r="H98" s="15"/>
      <c r="I98" s="15"/>
    </row>
    <row r="99" spans="1:16" s="14" customFormat="1">
      <c r="A99" s="15"/>
      <c r="B99" s="15"/>
      <c r="C99" s="15"/>
      <c r="D99" s="15"/>
      <c r="E99" s="15"/>
      <c r="F99" s="15"/>
      <c r="G99" s="15"/>
      <c r="H99" s="15"/>
      <c r="I99" s="15"/>
    </row>
    <row r="100" spans="1:16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1:16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1:16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1:16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1:16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1:16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1:1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1:16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1:16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1:16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1:16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1:16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 spans="1:16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1:16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1:16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1:16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1: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1:16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1:16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1:16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 spans="1:16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1:16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1:16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1:16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1:16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1:16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1:1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1:16" s="14" customFormat="1">
      <c r="A127" s="15"/>
      <c r="B127" s="15"/>
      <c r="C127" s="15"/>
      <c r="D127" s="15"/>
      <c r="E127" s="15"/>
      <c r="F127" s="15"/>
      <c r="G127" s="15"/>
      <c r="H127" s="15"/>
      <c r="I127" s="15"/>
    </row>
    <row r="128" spans="1:16" s="14" customFormat="1">
      <c r="A128" s="15"/>
      <c r="B128" s="15"/>
      <c r="C128" s="15"/>
      <c r="D128" s="15"/>
      <c r="E128" s="15"/>
      <c r="F128" s="15"/>
      <c r="G128" s="15"/>
      <c r="H128" s="15"/>
      <c r="I128" s="15"/>
    </row>
    <row r="129" spans="1:16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1:16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 spans="1:16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 spans="1:16" s="14" customFormat="1">
      <c r="A132" s="15"/>
      <c r="B132" s="15"/>
      <c r="C132" s="15"/>
      <c r="D132" s="15"/>
      <c r="E132" s="15"/>
      <c r="F132" s="15"/>
      <c r="G132" s="15"/>
      <c r="H132" s="15"/>
      <c r="I132" s="15"/>
    </row>
    <row r="133" spans="1:16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 spans="1:16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 spans="1:16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 spans="1:1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 spans="1:16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 spans="1:16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1:16" s="14" customFormat="1">
      <c r="A139" s="15"/>
      <c r="B139" s="15"/>
      <c r="C139" s="15"/>
      <c r="D139" s="15"/>
      <c r="E139" s="15"/>
      <c r="F139" s="15"/>
      <c r="G139" s="15"/>
      <c r="H139" s="15"/>
      <c r="I139" s="15"/>
    </row>
    <row r="140" spans="1:16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1:16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1:16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1:16" s="14" customFormat="1">
      <c r="A143" s="15"/>
      <c r="B143" s="15"/>
      <c r="C143" s="15"/>
      <c r="D143" s="15"/>
      <c r="E143" s="15"/>
      <c r="F143" s="15"/>
      <c r="G143" s="15"/>
      <c r="H143" s="15"/>
      <c r="I143" s="15"/>
    </row>
    <row r="144" spans="1:16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1:16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1:16" s="14" customFormat="1">
      <c r="A146" s="15"/>
      <c r="B146" s="15"/>
      <c r="C146" s="15"/>
      <c r="D146" s="15"/>
      <c r="E146" s="15"/>
      <c r="F146" s="15"/>
      <c r="G146" s="15"/>
      <c r="H146" s="15"/>
      <c r="I146" s="15"/>
    </row>
    <row r="147" spans="1:16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1:16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1:16" s="14" customFormat="1">
      <c r="A149" s="15"/>
      <c r="B149" s="15"/>
      <c r="C149" s="15"/>
      <c r="D149" s="15"/>
      <c r="E149" s="15"/>
      <c r="F149" s="15"/>
      <c r="G149" s="15"/>
      <c r="H149" s="15"/>
      <c r="I149" s="15"/>
    </row>
    <row r="150" spans="1:16" s="14" customFormat="1">
      <c r="A150" s="15"/>
      <c r="B150" s="15"/>
      <c r="C150" s="15"/>
      <c r="D150" s="15"/>
      <c r="E150" s="15"/>
      <c r="F150" s="15"/>
      <c r="G150" s="15"/>
      <c r="H150" s="15"/>
      <c r="I150" s="15"/>
    </row>
    <row r="151" spans="1:16" s="8" customForma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1:16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 spans="1:16" s="8" customForma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 spans="1:16" s="8" customForma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 spans="1:16" s="8" customForma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 spans="1:1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 spans="1:16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 spans="1:16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 spans="1:16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 spans="1:16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 spans="1:16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 spans="1:16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 spans="1:16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1:16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1:16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1:1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1:16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1:16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1:16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1:16" s="14" customFormat="1">
      <c r="A170" s="15"/>
      <c r="B170" s="15"/>
      <c r="C170" s="15"/>
      <c r="D170" s="15"/>
      <c r="E170" s="15"/>
      <c r="F170" s="15"/>
      <c r="G170" s="15"/>
      <c r="H170" s="15"/>
      <c r="I170" s="15"/>
    </row>
    <row r="171" spans="1:16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1:16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1:16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1:16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1:16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1:1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1:16" s="14" customFormat="1">
      <c r="A177" s="15"/>
      <c r="B177" s="15"/>
      <c r="C177" s="15"/>
      <c r="D177" s="15"/>
      <c r="E177" s="15"/>
      <c r="F177" s="15"/>
      <c r="G177" s="15"/>
      <c r="H177" s="15"/>
      <c r="I177" s="15"/>
    </row>
    <row r="178" spans="1:16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1:16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1:16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1:16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1:16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1:16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1:16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1:16" s="14" customFormat="1">
      <c r="A185" s="15"/>
      <c r="B185" s="15"/>
      <c r="C185" s="15"/>
      <c r="D185" s="15"/>
      <c r="E185" s="15"/>
      <c r="F185" s="15"/>
      <c r="G185" s="15"/>
      <c r="H185" s="15"/>
      <c r="I185" s="15"/>
    </row>
    <row r="186" spans="1:1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1:16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1:16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1:16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1:16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1:16" s="14" customFormat="1">
      <c r="A191" s="15"/>
      <c r="B191" s="15"/>
      <c r="C191" s="15"/>
      <c r="D191" s="15"/>
      <c r="E191" s="15"/>
      <c r="F191" s="15"/>
      <c r="G191" s="15"/>
      <c r="H191" s="15"/>
      <c r="I191" s="15"/>
    </row>
    <row r="192" spans="1:16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1:16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1:16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1:16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1:1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1:16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1:16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1:16" s="14" customFormat="1">
      <c r="A199" s="15"/>
      <c r="B199" s="15"/>
      <c r="C199" s="15"/>
      <c r="D199" s="15"/>
      <c r="E199" s="15"/>
      <c r="F199" s="15"/>
      <c r="G199" s="15"/>
      <c r="H199" s="15"/>
      <c r="I199" s="15"/>
    </row>
    <row r="200" spans="1:16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1:16" s="14" customFormat="1">
      <c r="A201" s="15"/>
      <c r="B201" s="15"/>
      <c r="C201" s="15"/>
      <c r="D201" s="15"/>
      <c r="E201" s="15"/>
      <c r="F201" s="15"/>
      <c r="G201" s="15"/>
      <c r="H201" s="15"/>
      <c r="I201" s="15"/>
    </row>
    <row r="202" spans="1:16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1:16" s="12" customFormat="1">
      <c r="A203" s="15"/>
      <c r="B203" s="15"/>
      <c r="C203" s="15"/>
      <c r="D203" s="15"/>
      <c r="E203" s="15"/>
      <c r="F203" s="15"/>
      <c r="G203" s="15"/>
      <c r="H203" s="15"/>
      <c r="I203" s="15"/>
    </row>
    <row r="204" spans="1:16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1:16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1:1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1:16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1:16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1:16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1:16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1:16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1:16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1:16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1:16" s="14" customFormat="1">
      <c r="A214" s="15"/>
      <c r="B214" s="15"/>
      <c r="C214" s="15"/>
      <c r="D214" s="15"/>
      <c r="E214" s="15"/>
      <c r="F214" s="15"/>
      <c r="G214" s="15"/>
      <c r="H214" s="15"/>
      <c r="I214" s="15"/>
    </row>
    <row r="215" spans="1:16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1: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1:16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1:16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1:16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1:16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1:16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1:16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1:16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1:16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1:16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1:16" s="14" customFormat="1">
      <c r="A226" s="15"/>
      <c r="B226" s="15"/>
      <c r="C226" s="15"/>
      <c r="D226" s="15"/>
      <c r="E226" s="15"/>
      <c r="F226" s="15"/>
      <c r="G226" s="15"/>
      <c r="H226" s="15"/>
      <c r="I226" s="15"/>
    </row>
    <row r="227" spans="1:16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1:16" s="14" customFormat="1">
      <c r="A228" s="15"/>
      <c r="B228" s="15"/>
      <c r="C228" s="15"/>
      <c r="D228" s="15"/>
      <c r="E228" s="15"/>
      <c r="F228" s="15"/>
      <c r="G228" s="15"/>
      <c r="H228" s="15"/>
      <c r="I228" s="15"/>
    </row>
    <row r="229" spans="1:16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1:16" s="8" customForma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</sheetData>
  <phoneticPr fontId="0" type="noConversion"/>
  <pageMargins left="0.75" right="0.75" top="1" bottom="1" header="0.5" footer="0.5"/>
  <pageSetup scale="79" orientation="landscape" horizontalDpi="4294967292" verticalDpi="1200"/>
  <headerFooter alignWithMargins="0">
    <oddHeader>&amp;L&amp;8&amp;F &amp;A</oddHeader>
    <oddFooter>&amp;L&amp;8© Adkins Matchett &amp; Toy 2010&amp;R&amp;8&amp;P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Study 3 - Intro</vt:lpstr>
      <vt:lpstr>Assumptions</vt:lpstr>
      <vt:lpstr>Calcs</vt:lpstr>
      <vt:lpstr>Debt</vt:lpstr>
      <vt:lpstr>IncState</vt:lpstr>
      <vt:lpstr>BalSheet</vt:lpstr>
      <vt:lpstr>CashFlow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ModelOff 2012</dc:title>
  <dc:creator/>
  <dc:description/>
  <cp:lastModifiedBy/>
  <dcterms:created xsi:type="dcterms:W3CDTF">2012-10-27T14:32:56Z</dcterms:created>
  <dcterms:modified xsi:type="dcterms:W3CDTF">2013-06-08T18:44:28Z</dcterms:modified>
</cp:coreProperties>
</file>