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657" yWindow="1888" windowWidth="18842" windowHeight="11153"/>
  </bookViews>
  <sheets>
    <sheet name="PYXCALCS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C6" i="1"/>
  <c r="D6" i="1"/>
  <c r="C7" i="1"/>
  <c r="D7" i="1" s="1"/>
  <c r="C8" i="1"/>
  <c r="D8" i="1" s="1"/>
  <c r="C9" i="1"/>
  <c r="D9" i="1" s="1"/>
  <c r="C10" i="1"/>
  <c r="D10" i="1"/>
  <c r="C11" i="1"/>
  <c r="D11" i="1"/>
  <c r="C13" i="1"/>
  <c r="D13" i="1" s="1"/>
  <c r="C14" i="1"/>
  <c r="D14" i="1" s="1"/>
  <c r="C15" i="1"/>
  <c r="D15" i="1"/>
  <c r="B16" i="1"/>
  <c r="B23" i="1"/>
  <c r="B24" i="1"/>
  <c r="B25" i="1"/>
  <c r="B26" i="1"/>
  <c r="B29" i="1"/>
  <c r="B30" i="1"/>
  <c r="B31" i="1"/>
  <c r="B32" i="1"/>
  <c r="B33" i="1"/>
  <c r="E11" i="1" l="1"/>
  <c r="G11" i="1" s="1"/>
  <c r="E9" i="1"/>
  <c r="G9" i="1" s="1"/>
  <c r="D16" i="1"/>
  <c r="E19" i="1" s="1"/>
  <c r="E15" i="1" s="1"/>
  <c r="G15" i="1" s="1"/>
  <c r="E35" i="1" l="1"/>
  <c r="E31" i="1"/>
  <c r="E28" i="1"/>
  <c r="E10" i="1"/>
  <c r="G10" i="1" s="1"/>
  <c r="E13" i="1"/>
  <c r="G13" i="1" s="1"/>
  <c r="E8" i="1"/>
  <c r="G8" i="1" s="1"/>
  <c r="E14" i="1"/>
  <c r="G14" i="1" s="1"/>
  <c r="E6" i="1"/>
  <c r="G6" i="1" s="1"/>
  <c r="E12" i="1"/>
  <c r="G12" i="1" s="1"/>
  <c r="E7" i="1"/>
  <c r="G7" i="1" s="1"/>
  <c r="E33" i="1" l="1"/>
  <c r="E32" i="1"/>
  <c r="E29" i="1"/>
  <c r="E23" i="1"/>
  <c r="G16" i="1"/>
  <c r="E34" i="1"/>
  <c r="E24" i="1" l="1"/>
  <c r="E26" i="1" s="1"/>
  <c r="K16" i="1"/>
  <c r="H24" i="1"/>
  <c r="H9" i="1" l="1"/>
  <c r="H15" i="1"/>
  <c r="H11" i="1"/>
  <c r="H13" i="1"/>
  <c r="H7" i="1"/>
  <c r="H6" i="1"/>
  <c r="H12" i="1"/>
  <c r="K12" i="1" s="1"/>
  <c r="H14" i="1"/>
  <c r="H10" i="1"/>
  <c r="H23" i="1" s="1"/>
  <c r="H25" i="1" s="1"/>
  <c r="H8" i="1"/>
  <c r="E30" i="1"/>
  <c r="E27" i="1"/>
  <c r="E36" i="1" s="1"/>
  <c r="B28" i="1"/>
  <c r="H26" i="1"/>
  <c r="B27" i="1" s="1"/>
  <c r="B34" i="1" s="1"/>
  <c r="H16" i="1" l="1"/>
  <c r="H32" i="1"/>
  <c r="K32" i="1"/>
  <c r="K31" i="1"/>
  <c r="H31" i="1"/>
  <c r="K30" i="1"/>
  <c r="H30" i="1"/>
  <c r="H33" i="1"/>
</calcChain>
</file>

<file path=xl/sharedStrings.xml><?xml version="1.0" encoding="utf-8"?>
<sst xmlns="http://schemas.openxmlformats.org/spreadsheetml/2006/main" count="83" uniqueCount="45">
  <si>
    <t>PYROXENE CALCULATION SHEET</t>
  </si>
  <si>
    <t>Wt%</t>
  </si>
  <si>
    <t>Mol Prop</t>
  </si>
  <si>
    <t>At Prop O</t>
  </si>
  <si>
    <t>No anions</t>
  </si>
  <si>
    <t>Formula</t>
  </si>
  <si>
    <t>SiO2</t>
  </si>
  <si>
    <t>Si</t>
  </si>
  <si>
    <t>TiO2</t>
  </si>
  <si>
    <t>Ti</t>
  </si>
  <si>
    <t>Al2O3</t>
  </si>
  <si>
    <t>Al</t>
  </si>
  <si>
    <t>Cr2O3</t>
  </si>
  <si>
    <t>Cr</t>
  </si>
  <si>
    <t>FeO</t>
  </si>
  <si>
    <t>Fe(ii)</t>
  </si>
  <si>
    <t>MnO</t>
  </si>
  <si>
    <t>Mn</t>
  </si>
  <si>
    <t>MgO</t>
  </si>
  <si>
    <t>Mg</t>
  </si>
  <si>
    <t>CaO</t>
  </si>
  <si>
    <t>Ca</t>
  </si>
  <si>
    <t>Na2O</t>
  </si>
  <si>
    <t>Na</t>
  </si>
  <si>
    <t>K2O</t>
  </si>
  <si>
    <t>K</t>
  </si>
  <si>
    <t>TOTAL</t>
  </si>
  <si>
    <t>No Oxyg</t>
  </si>
  <si>
    <t>T2</t>
  </si>
  <si>
    <t>Fe(iii)</t>
  </si>
  <si>
    <t>Fe2/(Fe2+Fe3)</t>
  </si>
  <si>
    <t>Fe3/(Fe3+Fe2)</t>
  </si>
  <si>
    <t>Fe2O3</t>
  </si>
  <si>
    <t>Wo</t>
  </si>
  <si>
    <t>En</t>
  </si>
  <si>
    <t>Fs</t>
  </si>
  <si>
    <t>MOLECULAR WEIGHTS</t>
  </si>
  <si>
    <t>T/S</t>
  </si>
  <si>
    <t>Ac</t>
  </si>
  <si>
    <t>Mg#</t>
  </si>
  <si>
    <t>Normalized</t>
  </si>
  <si>
    <t>This next section includes calculaton of Fe3+ from wet chemistry</t>
  </si>
  <si>
    <t>This first section is a conventional mineral recalculation from either wet chemistry or EPMA analyses (no Fe2O3 measurement)</t>
  </si>
  <si>
    <t>Cations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</si>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</sst>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0"/>
      <name val="MS Sans Serif"/>
    </font>
    <font>
      <u/>
      <sz val="10"/>
      <color theme="10"/>
      <name val="MS Sans Serif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color indexed="4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2" fillId="0" borderId="0" xfId="0" applyNumberFormat="1" applyFont="1"/>
    <xf numFmtId="164" fontId="3" fillId="0" borderId="0" xfId="0" applyNumberFormat="1" applyFont="1"/>
    <xf numFmtId="0" fontId="2" fillId="0" borderId="0" xfId="0" applyFont="1"/>
    <xf numFmtId="164" fontId="4" fillId="0" borderId="0" xfId="0" applyNumberFormat="1" applyFont="1"/>
    <xf numFmtId="2" fontId="2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Normal="100" workbookViewId="0">
      <selection activeCell="E30" sqref="E30"/>
    </sheetView>
  </sheetViews>
  <sheetFormatPr defaultColWidth="8.7109375" defaultRowHeight="13.6" x14ac:dyDescent="0.25"/>
  <cols>
    <col min="1" max="3" width="9.140625" style="1" customWidth="1"/>
    <col min="4" max="4" width="10.42578125" style="1" bestFit="1" customWidth="1"/>
    <col min="5" max="5" width="10.140625" style="1" bestFit="1" customWidth="1"/>
    <col min="6" max="6" width="13.5703125" style="1" customWidth="1"/>
    <col min="7" max="7" width="13.5703125" style="1" bestFit="1" customWidth="1"/>
    <col min="8" max="8" width="12.42578125" style="1" bestFit="1" customWidth="1"/>
    <col min="9" max="11" width="9.140625" style="1" customWidth="1"/>
    <col min="12" max="16384" width="8.7109375" style="3"/>
  </cols>
  <sheetData>
    <row r="1" spans="1:11" ht="16.3" x14ac:dyDescent="0.3">
      <c r="B1" s="2" t="s">
        <v>0</v>
      </c>
    </row>
    <row r="2" spans="1:11" x14ac:dyDescent="0.25">
      <c r="B2" s="3"/>
    </row>
    <row r="3" spans="1:11" x14ac:dyDescent="0.25">
      <c r="A3" s="1" t="s">
        <v>42</v>
      </c>
      <c r="B3" s="3"/>
    </row>
    <row r="5" spans="1:11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43</v>
      </c>
      <c r="H5" s="1" t="s">
        <v>40</v>
      </c>
    </row>
    <row r="6" spans="1:11" s="1" customFormat="1" x14ac:dyDescent="0.25">
      <c r="A6" s="1" t="s">
        <v>6</v>
      </c>
      <c r="B6" s="4">
        <v>49.71</v>
      </c>
      <c r="C6" s="1">
        <f>B6/B38</f>
        <v>0.82739680426098539</v>
      </c>
      <c r="D6" s="1">
        <f>C6*2</f>
        <v>1.6547936085219708</v>
      </c>
      <c r="E6" s="1">
        <f t="shared" ref="E6:E15" si="0">D6*$E$19</f>
        <v>3.8823580353117779</v>
      </c>
      <c r="F6" s="1" t="s">
        <v>7</v>
      </c>
      <c r="G6" s="1">
        <f>E6/2</f>
        <v>1.941179017655889</v>
      </c>
      <c r="H6" s="1">
        <f>G6*$K$16</f>
        <v>1.923460609126979</v>
      </c>
    </row>
    <row r="7" spans="1:11" s="1" customFormat="1" x14ac:dyDescent="0.25">
      <c r="A7" s="1" t="s">
        <v>8</v>
      </c>
      <c r="B7" s="4">
        <v>0.39</v>
      </c>
      <c r="C7" s="1">
        <f>B7/B39</f>
        <v>4.8823234852278423E-3</v>
      </c>
      <c r="D7" s="1">
        <f>C7*2</f>
        <v>9.7646469704556847E-3</v>
      </c>
      <c r="E7" s="1">
        <f t="shared" si="0"/>
        <v>2.2909114123054766E-2</v>
      </c>
      <c r="F7" s="1" t="s">
        <v>9</v>
      </c>
      <c r="G7" s="1">
        <f>E7/2</f>
        <v>1.1454557061527383E-2</v>
      </c>
      <c r="H7" s="1">
        <f t="shared" ref="H7:H15" si="1">G7*$K$16</f>
        <v>1.1350003839136315E-2</v>
      </c>
    </row>
    <row r="8" spans="1:11" s="1" customFormat="1" x14ac:dyDescent="0.25">
      <c r="A8" s="1" t="s">
        <v>10</v>
      </c>
      <c r="B8" s="4">
        <v>1.62</v>
      </c>
      <c r="C8" s="1">
        <f>B8/B40</f>
        <v>1.5888583758336603E-2</v>
      </c>
      <c r="D8" s="1">
        <f>C8*3</f>
        <v>4.7665751275009813E-2</v>
      </c>
      <c r="E8" s="1">
        <f t="shared" si="0"/>
        <v>0.11182996569402691</v>
      </c>
      <c r="F8" s="1" t="s">
        <v>11</v>
      </c>
      <c r="G8" s="1">
        <f>E8*(2/3)</f>
        <v>7.4553310462684597E-2</v>
      </c>
      <c r="H8" s="1">
        <f t="shared" si="1"/>
        <v>7.3872813713056804E-2</v>
      </c>
    </row>
    <row r="9" spans="1:11" s="1" customFormat="1" x14ac:dyDescent="0.25">
      <c r="A9" s="1" t="s">
        <v>12</v>
      </c>
      <c r="B9" s="4">
        <v>0.1</v>
      </c>
      <c r="C9" s="1">
        <f>B9/B41</f>
        <v>6.5793802223830511E-4</v>
      </c>
      <c r="D9" s="1">
        <f>C9*3</f>
        <v>1.9738140667149152E-3</v>
      </c>
      <c r="E9" s="1">
        <f t="shared" si="0"/>
        <v>4.6308209450763816E-3</v>
      </c>
      <c r="F9" s="1" t="s">
        <v>13</v>
      </c>
      <c r="G9" s="1">
        <f>E9*(2/3)</f>
        <v>3.0872139633842544E-3</v>
      </c>
      <c r="H9" s="1">
        <f t="shared" si="1"/>
        <v>3.0590349455183741E-3</v>
      </c>
    </row>
    <row r="10" spans="1:11" s="1" customFormat="1" x14ac:dyDescent="0.25">
      <c r="A10" s="1" t="s">
        <v>14</v>
      </c>
      <c r="B10" s="4">
        <v>20.03</v>
      </c>
      <c r="C10" s="1">
        <f>B10/B42</f>
        <v>0.27877522616562284</v>
      </c>
      <c r="D10" s="1">
        <f t="shared" ref="D10:D15" si="2">C10</f>
        <v>0.27877522616562284</v>
      </c>
      <c r="E10" s="1">
        <f t="shared" si="0"/>
        <v>0.65404243391818384</v>
      </c>
      <c r="F10" s="1" t="s">
        <v>15</v>
      </c>
      <c r="G10" s="1">
        <f>E10</f>
        <v>0.65404243391818384</v>
      </c>
      <c r="H10" s="1">
        <f t="shared" si="1"/>
        <v>0.64807256151898651</v>
      </c>
    </row>
    <row r="11" spans="1:11" s="1" customFormat="1" x14ac:dyDescent="0.25">
      <c r="A11" s="1" t="s">
        <v>16</v>
      </c>
      <c r="B11" s="4">
        <v>0.5</v>
      </c>
      <c r="C11" s="1">
        <f>B11/B43</f>
        <v>7.0482097547223009E-3</v>
      </c>
      <c r="D11" s="1">
        <f t="shared" si="2"/>
        <v>7.0482097547223009E-3</v>
      </c>
      <c r="E11" s="1">
        <f t="shared" si="0"/>
        <v>1.6536004027867666E-2</v>
      </c>
      <c r="F11" s="1" t="s">
        <v>17</v>
      </c>
      <c r="G11" s="1">
        <f>E11</f>
        <v>1.6536004027867666E-2</v>
      </c>
      <c r="H11" s="1">
        <f t="shared" si="1"/>
        <v>1.6385069120712494E-2</v>
      </c>
    </row>
    <row r="12" spans="1:11" s="1" customFormat="1" x14ac:dyDescent="0.25">
      <c r="A12" s="1" t="s">
        <v>18</v>
      </c>
      <c r="B12" s="4">
        <v>9.5299999999999994</v>
      </c>
      <c r="C12" s="1">
        <f>B12/B44</f>
        <v>0.23647642679900743</v>
      </c>
      <c r="D12" s="1">
        <f t="shared" si="2"/>
        <v>0.23647642679900743</v>
      </c>
      <c r="E12" s="1">
        <f t="shared" si="0"/>
        <v>0.55480402572074261</v>
      </c>
      <c r="F12" s="1" t="s">
        <v>19</v>
      </c>
      <c r="G12" s="1">
        <f>E12</f>
        <v>0.55480402572074261</v>
      </c>
      <c r="H12" s="1">
        <f t="shared" si="1"/>
        <v>0.54973996707813755</v>
      </c>
      <c r="J12" s="1" t="s">
        <v>39</v>
      </c>
      <c r="K12" s="5">
        <f>100*H12/(H12+H10)</f>
        <v>45.895326184473291</v>
      </c>
    </row>
    <row r="13" spans="1:11" s="1" customFormat="1" x14ac:dyDescent="0.25">
      <c r="A13" s="1" t="s">
        <v>20</v>
      </c>
      <c r="B13" s="4">
        <v>17.32</v>
      </c>
      <c r="C13" s="1">
        <f>B13/B45</f>
        <v>0.30884450784593437</v>
      </c>
      <c r="D13" s="1">
        <f t="shared" si="2"/>
        <v>0.30884450784593437</v>
      </c>
      <c r="E13" s="1">
        <f t="shared" si="0"/>
        <v>0.72458882516988821</v>
      </c>
      <c r="F13" s="1" t="s">
        <v>21</v>
      </c>
      <c r="G13" s="1">
        <f>E13</f>
        <v>0.72458882516988821</v>
      </c>
      <c r="H13" s="1">
        <f t="shared" si="1"/>
        <v>0.71797502978931249</v>
      </c>
    </row>
    <row r="14" spans="1:11" s="1" customFormat="1" x14ac:dyDescent="0.25">
      <c r="A14" s="1" t="s">
        <v>22</v>
      </c>
      <c r="B14" s="4">
        <v>0.56999999999999995</v>
      </c>
      <c r="C14" s="1">
        <f>B14/B46</f>
        <v>9.1965150048402711E-3</v>
      </c>
      <c r="D14" s="1">
        <f t="shared" si="2"/>
        <v>9.1965150048402711E-3</v>
      </c>
      <c r="E14" s="1">
        <f t="shared" si="0"/>
        <v>2.1576203667959065E-2</v>
      </c>
      <c r="F14" s="1" t="s">
        <v>23</v>
      </c>
      <c r="G14" s="1">
        <f>E14*2</f>
        <v>4.315240733591813E-2</v>
      </c>
      <c r="H14" s="1">
        <f t="shared" si="1"/>
        <v>4.2758527134643842E-2</v>
      </c>
    </row>
    <row r="15" spans="1:11" s="1" customFormat="1" x14ac:dyDescent="0.25">
      <c r="A15" s="1" t="s">
        <v>24</v>
      </c>
      <c r="B15" s="4">
        <v>0.27</v>
      </c>
      <c r="C15" s="1">
        <f>B15/B47</f>
        <v>2.8662420382165607E-3</v>
      </c>
      <c r="D15" s="1">
        <f t="shared" si="2"/>
        <v>2.8662420382165607E-3</v>
      </c>
      <c r="E15" s="1">
        <f t="shared" si="0"/>
        <v>6.7245714214219056E-3</v>
      </c>
      <c r="F15" s="1" t="s">
        <v>25</v>
      </c>
      <c r="G15" s="1">
        <f>E15*2</f>
        <v>1.3449142842843811E-2</v>
      </c>
      <c r="H15" s="1">
        <f t="shared" si="1"/>
        <v>1.3326383733516052E-2</v>
      </c>
    </row>
    <row r="16" spans="1:11" s="1" customFormat="1" x14ac:dyDescent="0.25">
      <c r="A16" s="1" t="s">
        <v>44</v>
      </c>
      <c r="B16" s="1">
        <f>SUM(B6:B15)</f>
        <v>100.03999999999998</v>
      </c>
      <c r="D16" s="1">
        <f>SUM(D6:D15)</f>
        <v>2.5574049484424952</v>
      </c>
      <c r="F16" s="1" t="s">
        <v>44</v>
      </c>
      <c r="G16" s="1">
        <f>SUM(G6:G15)</f>
        <v>4.0368469381589298</v>
      </c>
      <c r="H16" s="1">
        <f>SUM(H6:H15)</f>
        <v>3.9999999999999996</v>
      </c>
      <c r="J16" s="1" t="s">
        <v>37</v>
      </c>
      <c r="K16" s="1">
        <f>4/G16</f>
        <v>0.9908723469768872</v>
      </c>
    </row>
    <row r="18" spans="1:11" x14ac:dyDescent="0.25">
      <c r="D18" s="1" t="s">
        <v>27</v>
      </c>
      <c r="E18" s="1">
        <v>6</v>
      </c>
    </row>
    <row r="19" spans="1:11" x14ac:dyDescent="0.25">
      <c r="D19" s="1" t="s">
        <v>28</v>
      </c>
      <c r="E19" s="1">
        <f>E18/D16</f>
        <v>2.3461282514738646</v>
      </c>
    </row>
    <row r="21" spans="1:11" x14ac:dyDescent="0.25">
      <c r="A21" s="1" t="s">
        <v>41</v>
      </c>
    </row>
    <row r="23" spans="1:11" x14ac:dyDescent="0.25">
      <c r="A23" s="1" t="s">
        <v>6</v>
      </c>
      <c r="B23" s="6">
        <f>B6</f>
        <v>49.71</v>
      </c>
      <c r="D23" s="1" t="s">
        <v>7</v>
      </c>
      <c r="E23" s="7">
        <f>G6</f>
        <v>1.941179017655889</v>
      </c>
      <c r="G23" s="1" t="s">
        <v>15</v>
      </c>
      <c r="H23" s="1">
        <f>H10-H24</f>
        <v>0.53854072524163288</v>
      </c>
    </row>
    <row r="24" spans="1:11" x14ac:dyDescent="0.25">
      <c r="A24" s="1" t="s">
        <v>8</v>
      </c>
      <c r="B24" s="6">
        <f>B7</f>
        <v>0.39</v>
      </c>
      <c r="D24" s="1" t="s">
        <v>11</v>
      </c>
      <c r="E24" s="7">
        <f>IF(2-E23&gt;G8,G8,2-E23)</f>
        <v>5.8820982344111039E-2</v>
      </c>
      <c r="G24" s="1" t="s">
        <v>29</v>
      </c>
      <c r="H24" s="1">
        <f>(2*6)*(1-(4/G16))</f>
        <v>0.10953183627735363</v>
      </c>
    </row>
    <row r="25" spans="1:11" x14ac:dyDescent="0.25">
      <c r="A25" s="1" t="s">
        <v>10</v>
      </c>
      <c r="B25" s="6">
        <f>B8</f>
        <v>1.62</v>
      </c>
      <c r="E25" s="7"/>
      <c r="G25" s="1" t="s">
        <v>30</v>
      </c>
      <c r="H25" s="1">
        <f>H23/(H23+H24)</f>
        <v>0.83098831399276163</v>
      </c>
    </row>
    <row r="26" spans="1:11" x14ac:dyDescent="0.25">
      <c r="A26" s="1" t="s">
        <v>12</v>
      </c>
      <c r="B26" s="6">
        <f>B9</f>
        <v>0.1</v>
      </c>
      <c r="D26" s="1" t="s">
        <v>11</v>
      </c>
      <c r="E26" s="7">
        <f>G8-E24</f>
        <v>1.5732328118573558E-2</v>
      </c>
      <c r="G26" s="1" t="s">
        <v>31</v>
      </c>
      <c r="H26" s="1">
        <f>H24/(H24+H23)</f>
        <v>0.1690116860072384</v>
      </c>
    </row>
    <row r="27" spans="1:11" x14ac:dyDescent="0.25">
      <c r="A27" s="1" t="s">
        <v>32</v>
      </c>
      <c r="B27" s="6">
        <f>IF(H24&lt;0,0,1.1113*(B10*H26))</f>
        <v>3.7620884137966764</v>
      </c>
      <c r="D27" s="1" t="s">
        <v>29</v>
      </c>
      <c r="E27" s="7">
        <f>IF(H24&lt;0,0,H24)</f>
        <v>0.10953183627735363</v>
      </c>
    </row>
    <row r="28" spans="1:11" x14ac:dyDescent="0.25">
      <c r="A28" s="1" t="s">
        <v>14</v>
      </c>
      <c r="B28" s="6">
        <f>IF(H24&lt;0,B10,B10*H25)</f>
        <v>16.644695929275017</v>
      </c>
      <c r="D28" s="1" t="s">
        <v>13</v>
      </c>
      <c r="E28" s="7">
        <f>G9</f>
        <v>3.0872139633842544E-3</v>
      </c>
    </row>
    <row r="29" spans="1:11" x14ac:dyDescent="0.25">
      <c r="A29" s="1" t="s">
        <v>16</v>
      </c>
      <c r="B29" s="6">
        <f>B11</f>
        <v>0.5</v>
      </c>
      <c r="D29" s="1" t="s">
        <v>9</v>
      </c>
      <c r="E29" s="7">
        <f>G7</f>
        <v>1.1454557061527383E-2</v>
      </c>
    </row>
    <row r="30" spans="1:11" x14ac:dyDescent="0.25">
      <c r="A30" s="1" t="s">
        <v>18</v>
      </c>
      <c r="B30" s="6">
        <f>B12</f>
        <v>9.5299999999999994</v>
      </c>
      <c r="D30" s="1" t="s">
        <v>15</v>
      </c>
      <c r="E30" s="7">
        <f>IF(H24&lt;0,H10,H23)</f>
        <v>0.53854072524163288</v>
      </c>
      <c r="G30" s="1" t="s">
        <v>33</v>
      </c>
      <c r="H30" s="5">
        <f>E33/(E33+E32+E31+E30+E27+E34)*100</f>
        <v>36.463650498579305</v>
      </c>
      <c r="I30" s="5"/>
      <c r="J30" s="5" t="s">
        <v>33</v>
      </c>
      <c r="K30" s="5">
        <f>E33/(E33+E32+E31+E30+E27)*100</f>
        <v>37.273060556599106</v>
      </c>
    </row>
    <row r="31" spans="1:11" x14ac:dyDescent="0.25">
      <c r="A31" s="1" t="s">
        <v>20</v>
      </c>
      <c r="B31" s="6">
        <f>B13</f>
        <v>17.32</v>
      </c>
      <c r="D31" s="1" t="s">
        <v>17</v>
      </c>
      <c r="E31" s="7">
        <f>G11</f>
        <v>1.6536004027867666E-2</v>
      </c>
      <c r="G31" s="1" t="s">
        <v>34</v>
      </c>
      <c r="H31" s="5">
        <f>E32/(E33+E32+E31+E30+E27+E34)*100</f>
        <v>27.919530893045113</v>
      </c>
      <c r="I31" s="5"/>
      <c r="J31" s="5" t="s">
        <v>34</v>
      </c>
      <c r="K31" s="5">
        <f>E32/(E33+E32+E31+E30+E27)*100</f>
        <v>28.53928094031221</v>
      </c>
    </row>
    <row r="32" spans="1:11" x14ac:dyDescent="0.25">
      <c r="A32" s="1" t="s">
        <v>22</v>
      </c>
      <c r="B32" s="6">
        <f>B14</f>
        <v>0.56999999999999995</v>
      </c>
      <c r="D32" s="1" t="s">
        <v>19</v>
      </c>
      <c r="E32" s="7">
        <f>G12</f>
        <v>0.55480402572074261</v>
      </c>
      <c r="G32" s="1" t="s">
        <v>35</v>
      </c>
      <c r="H32" s="5">
        <f>(E30+E31+E27)/(E32+E31+E30+E27+E33+E34)*100</f>
        <v>33.445250065484615</v>
      </c>
      <c r="I32" s="5"/>
      <c r="J32" s="5" t="s">
        <v>35</v>
      </c>
      <c r="K32" s="5">
        <f>(E30+E31+E27)/(E32+E31+E30+E27+E33)*100</f>
        <v>34.187658503088677</v>
      </c>
    </row>
    <row r="33" spans="1:11" x14ac:dyDescent="0.25">
      <c r="A33" s="1" t="s">
        <v>24</v>
      </c>
      <c r="B33" s="6">
        <f>B15</f>
        <v>0.27</v>
      </c>
      <c r="D33" s="1" t="s">
        <v>21</v>
      </c>
      <c r="E33" s="7">
        <f>G13</f>
        <v>0.72458882516988821</v>
      </c>
      <c r="G33" s="1" t="s">
        <v>38</v>
      </c>
      <c r="H33" s="5">
        <f>E34/(E34+E33+E32+E31+E30+E27)*100</f>
        <v>2.1715685428909626</v>
      </c>
      <c r="I33" s="5"/>
      <c r="J33" s="5"/>
      <c r="K33" s="5"/>
    </row>
    <row r="34" spans="1:11" x14ac:dyDescent="0.25">
      <c r="A34" s="1" t="s">
        <v>26</v>
      </c>
      <c r="B34" s="1">
        <f>SUM(B23:B33)</f>
        <v>100.41678434307168</v>
      </c>
      <c r="D34" s="1" t="s">
        <v>23</v>
      </c>
      <c r="E34" s="7">
        <f>G14</f>
        <v>4.315240733591813E-2</v>
      </c>
    </row>
    <row r="35" spans="1:11" x14ac:dyDescent="0.25">
      <c r="D35" s="1" t="s">
        <v>25</v>
      </c>
      <c r="E35" s="7">
        <f>G15</f>
        <v>1.3449142842843811E-2</v>
      </c>
    </row>
    <row r="36" spans="1:11" x14ac:dyDescent="0.25">
      <c r="D36" s="1" t="s">
        <v>26</v>
      </c>
      <c r="E36" s="1">
        <f>SUM(E23:E35)</f>
        <v>4.0308770657597321</v>
      </c>
    </row>
    <row r="37" spans="1:11" x14ac:dyDescent="0.25">
      <c r="A37" s="1" t="s">
        <v>36</v>
      </c>
    </row>
    <row r="38" spans="1:11" x14ac:dyDescent="0.25">
      <c r="A38" s="1" t="s">
        <v>6</v>
      </c>
      <c r="B38" s="5">
        <v>60.08</v>
      </c>
    </row>
    <row r="39" spans="1:11" x14ac:dyDescent="0.25">
      <c r="A39" s="1" t="s">
        <v>8</v>
      </c>
      <c r="B39" s="5">
        <v>79.88</v>
      </c>
    </row>
    <row r="40" spans="1:11" x14ac:dyDescent="0.25">
      <c r="A40" s="1" t="s">
        <v>10</v>
      </c>
      <c r="B40" s="5">
        <v>101.96</v>
      </c>
    </row>
    <row r="41" spans="1:11" x14ac:dyDescent="0.25">
      <c r="A41" s="1" t="s">
        <v>12</v>
      </c>
      <c r="B41" s="5">
        <v>151.99</v>
      </c>
    </row>
    <row r="42" spans="1:11" x14ac:dyDescent="0.25">
      <c r="A42" s="1" t="s">
        <v>14</v>
      </c>
      <c r="B42" s="5">
        <v>71.849999999999994</v>
      </c>
    </row>
    <row r="43" spans="1:11" x14ac:dyDescent="0.25">
      <c r="A43" s="1" t="s">
        <v>16</v>
      </c>
      <c r="B43" s="5">
        <v>70.94</v>
      </c>
    </row>
    <row r="44" spans="1:11" x14ac:dyDescent="0.25">
      <c r="A44" s="1" t="s">
        <v>18</v>
      </c>
      <c r="B44" s="5">
        <v>40.299999999999997</v>
      </c>
    </row>
    <row r="45" spans="1:11" x14ac:dyDescent="0.25">
      <c r="A45" s="1" t="s">
        <v>20</v>
      </c>
      <c r="B45" s="5">
        <v>56.08</v>
      </c>
    </row>
    <row r="46" spans="1:11" x14ac:dyDescent="0.25">
      <c r="A46" s="1" t="s">
        <v>22</v>
      </c>
      <c r="B46" s="5">
        <v>61.98</v>
      </c>
    </row>
    <row r="47" spans="1:11" x14ac:dyDescent="0.25">
      <c r="A47" s="1" t="s">
        <v>24</v>
      </c>
      <c r="B47" s="5">
        <v>94.2</v>
      </c>
    </row>
    <row r="52" spans="1:1" x14ac:dyDescent="0.25">
      <c r="A52" s="8"/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2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PYXCALCS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wuprobe</cp:lastModifiedBy>
  <dcterms:created xsi:type="dcterms:W3CDTF">2023-06-08T17:57:22Z</dcterms:created>
  <dcterms:modified xsi:type="dcterms:W3CDTF">2024-06-18T17:29:36Z</dcterms:modified>
</cp:coreProperties>
</file>