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tenson23/Desktop/"/>
    </mc:Choice>
  </mc:AlternateContent>
  <xr:revisionPtr revIDLastSave="0" documentId="13_ncr:9_{9CCE1DF7-7BAA-084D-BD0D-E1A1A5B80D8E}" xr6:coauthVersionLast="45" xr6:coauthVersionMax="45" xr10:uidLastSave="{00000000-0000-0000-0000-000000000000}"/>
  <bookViews>
    <workbookView xWindow="0" yWindow="0" windowWidth="28800" windowHeight="18000" xr2:uid="{40C0E880-0EE9-EE4D-BBEA-B12C93001846}"/>
  </bookViews>
  <sheets>
    <sheet name="Team Payroll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" i="1"/>
  <c r="K271" i="1"/>
  <c r="G271" i="1"/>
  <c r="J271" i="1" s="1"/>
  <c r="K270" i="1"/>
  <c r="G270" i="1"/>
  <c r="J270" i="1" s="1"/>
  <c r="K269" i="1"/>
  <c r="G269" i="1"/>
  <c r="J269" i="1" s="1"/>
  <c r="K268" i="1"/>
  <c r="G268" i="1"/>
  <c r="J268" i="1" s="1"/>
  <c r="K267" i="1"/>
  <c r="G267" i="1"/>
  <c r="J267" i="1" s="1"/>
  <c r="K266" i="1"/>
  <c r="H266" i="1"/>
  <c r="E266" i="1"/>
  <c r="D266" i="1"/>
  <c r="C266" i="1"/>
  <c r="K265" i="1"/>
  <c r="G265" i="1"/>
  <c r="J265" i="1" s="1"/>
  <c r="K264" i="1"/>
  <c r="G264" i="1"/>
  <c r="J264" i="1" s="1"/>
  <c r="K263" i="1"/>
  <c r="G263" i="1"/>
  <c r="J263" i="1" s="1"/>
  <c r="K262" i="1"/>
  <c r="G262" i="1"/>
  <c r="J262" i="1" s="1"/>
  <c r="K261" i="1"/>
  <c r="G261" i="1"/>
  <c r="J261" i="1" s="1"/>
  <c r="K260" i="1"/>
  <c r="G260" i="1"/>
  <c r="J260" i="1" s="1"/>
  <c r="K259" i="1"/>
  <c r="G259" i="1"/>
  <c r="J259" i="1" s="1"/>
  <c r="K258" i="1"/>
  <c r="G258" i="1"/>
  <c r="J258" i="1" s="1"/>
  <c r="H257" i="1"/>
  <c r="K257" i="1" s="1"/>
  <c r="F257" i="1"/>
  <c r="E257" i="1"/>
  <c r="D257" i="1"/>
  <c r="C257" i="1"/>
  <c r="K256" i="1"/>
  <c r="G256" i="1"/>
  <c r="J256" i="1" s="1"/>
  <c r="K255" i="1"/>
  <c r="G255" i="1"/>
  <c r="J255" i="1" s="1"/>
  <c r="K254" i="1"/>
  <c r="G254" i="1"/>
  <c r="J254" i="1" s="1"/>
  <c r="K253" i="1"/>
  <c r="G253" i="1"/>
  <c r="J253" i="1" s="1"/>
  <c r="K252" i="1"/>
  <c r="G252" i="1"/>
  <c r="J252" i="1" s="1"/>
  <c r="K251" i="1"/>
  <c r="G251" i="1"/>
  <c r="J251" i="1" s="1"/>
  <c r="K250" i="1"/>
  <c r="G250" i="1"/>
  <c r="J250" i="1" s="1"/>
  <c r="K249" i="1"/>
  <c r="G249" i="1"/>
  <c r="J249" i="1" s="1"/>
  <c r="H248" i="1"/>
  <c r="K248" i="1" s="1"/>
  <c r="F248" i="1"/>
  <c r="E248" i="1"/>
  <c r="D248" i="1"/>
  <c r="C248" i="1"/>
  <c r="K247" i="1"/>
  <c r="G247" i="1"/>
  <c r="J247" i="1" s="1"/>
  <c r="K246" i="1"/>
  <c r="G246" i="1"/>
  <c r="J246" i="1" s="1"/>
  <c r="K245" i="1"/>
  <c r="G245" i="1"/>
  <c r="J245" i="1" s="1"/>
  <c r="K244" i="1"/>
  <c r="G244" i="1"/>
  <c r="J244" i="1" s="1"/>
  <c r="K243" i="1"/>
  <c r="G243" i="1"/>
  <c r="J243" i="1" s="1"/>
  <c r="K242" i="1"/>
  <c r="G242" i="1"/>
  <c r="J242" i="1" s="1"/>
  <c r="K241" i="1"/>
  <c r="G241" i="1"/>
  <c r="J241" i="1" s="1"/>
  <c r="K240" i="1"/>
  <c r="G240" i="1"/>
  <c r="J240" i="1" s="1"/>
  <c r="K239" i="1"/>
  <c r="H239" i="1"/>
  <c r="E239" i="1"/>
  <c r="D239" i="1"/>
  <c r="C239" i="1"/>
  <c r="K238" i="1"/>
  <c r="G238" i="1"/>
  <c r="J238" i="1" s="1"/>
  <c r="K237" i="1"/>
  <c r="G237" i="1"/>
  <c r="J237" i="1" s="1"/>
  <c r="K236" i="1"/>
  <c r="G236" i="1"/>
  <c r="J236" i="1" s="1"/>
  <c r="K235" i="1"/>
  <c r="G235" i="1"/>
  <c r="J235" i="1" s="1"/>
  <c r="K234" i="1"/>
  <c r="G234" i="1"/>
  <c r="J234" i="1" s="1"/>
  <c r="K233" i="1"/>
  <c r="G233" i="1"/>
  <c r="J233" i="1" s="1"/>
  <c r="K232" i="1"/>
  <c r="J232" i="1"/>
  <c r="G232" i="1"/>
  <c r="K231" i="1"/>
  <c r="G231" i="1"/>
  <c r="J231" i="1" s="1"/>
  <c r="H230" i="1"/>
  <c r="K230" i="1" s="1"/>
  <c r="E230" i="1"/>
  <c r="D230" i="1"/>
  <c r="C230" i="1"/>
  <c r="G230" i="1" s="1"/>
  <c r="J230" i="1" s="1"/>
  <c r="K229" i="1"/>
  <c r="G229" i="1"/>
  <c r="J229" i="1" s="1"/>
  <c r="K228" i="1"/>
  <c r="J228" i="1"/>
  <c r="G228" i="1"/>
  <c r="K227" i="1"/>
  <c r="G227" i="1"/>
  <c r="J227" i="1" s="1"/>
  <c r="K226" i="1"/>
  <c r="G226" i="1"/>
  <c r="J226" i="1" s="1"/>
  <c r="K225" i="1"/>
  <c r="G225" i="1"/>
  <c r="J225" i="1" s="1"/>
  <c r="K224" i="1"/>
  <c r="G224" i="1"/>
  <c r="J224" i="1" s="1"/>
  <c r="K223" i="1"/>
  <c r="G223" i="1"/>
  <c r="J223" i="1" s="1"/>
  <c r="K222" i="1"/>
  <c r="G222" i="1"/>
  <c r="J222" i="1" s="1"/>
  <c r="H221" i="1"/>
  <c r="K221" i="1" s="1"/>
  <c r="E221" i="1"/>
  <c r="D221" i="1"/>
  <c r="G221" i="1" s="1"/>
  <c r="J221" i="1" s="1"/>
  <c r="C221" i="1"/>
  <c r="K220" i="1"/>
  <c r="G220" i="1"/>
  <c r="J220" i="1" s="1"/>
  <c r="K219" i="1"/>
  <c r="G219" i="1"/>
  <c r="J219" i="1" s="1"/>
  <c r="K218" i="1"/>
  <c r="G218" i="1"/>
  <c r="J218" i="1" s="1"/>
  <c r="K217" i="1"/>
  <c r="G217" i="1"/>
  <c r="J217" i="1" s="1"/>
  <c r="K216" i="1"/>
  <c r="G216" i="1"/>
  <c r="J216" i="1" s="1"/>
  <c r="K215" i="1"/>
  <c r="J215" i="1"/>
  <c r="G215" i="1"/>
  <c r="K214" i="1"/>
  <c r="G214" i="1"/>
  <c r="J214" i="1" s="1"/>
  <c r="K213" i="1"/>
  <c r="G213" i="1"/>
  <c r="J213" i="1" s="1"/>
  <c r="H212" i="1"/>
  <c r="K212" i="1" s="1"/>
  <c r="G212" i="1"/>
  <c r="J212" i="1" s="1"/>
  <c r="E212" i="1"/>
  <c r="D212" i="1"/>
  <c r="C212" i="1"/>
  <c r="K211" i="1"/>
  <c r="G211" i="1"/>
  <c r="J211" i="1" s="1"/>
  <c r="K210" i="1"/>
  <c r="J210" i="1"/>
  <c r="G210" i="1"/>
  <c r="K209" i="1"/>
  <c r="G209" i="1"/>
  <c r="J209" i="1" s="1"/>
  <c r="K208" i="1"/>
  <c r="G208" i="1"/>
  <c r="J208" i="1" s="1"/>
  <c r="K207" i="1"/>
  <c r="J207" i="1"/>
  <c r="G207" i="1"/>
  <c r="K206" i="1"/>
  <c r="G206" i="1"/>
  <c r="J206" i="1" s="1"/>
  <c r="K205" i="1"/>
  <c r="G205" i="1"/>
  <c r="J205" i="1" s="1"/>
  <c r="K204" i="1"/>
  <c r="G204" i="1"/>
  <c r="J204" i="1" s="1"/>
  <c r="H203" i="1"/>
  <c r="K203" i="1" s="1"/>
  <c r="E203" i="1"/>
  <c r="D203" i="1"/>
  <c r="C203" i="1"/>
  <c r="K202" i="1"/>
  <c r="G202" i="1"/>
  <c r="J202" i="1" s="1"/>
  <c r="K201" i="1"/>
  <c r="G201" i="1"/>
  <c r="J201" i="1" s="1"/>
  <c r="K200" i="1"/>
  <c r="G200" i="1"/>
  <c r="J200" i="1" s="1"/>
  <c r="K199" i="1"/>
  <c r="G199" i="1"/>
  <c r="J199" i="1" s="1"/>
  <c r="K198" i="1"/>
  <c r="J198" i="1"/>
  <c r="G198" i="1"/>
  <c r="K197" i="1"/>
  <c r="G197" i="1"/>
  <c r="J197" i="1" s="1"/>
  <c r="K196" i="1"/>
  <c r="G196" i="1"/>
  <c r="J196" i="1" s="1"/>
  <c r="K195" i="1"/>
  <c r="J195" i="1"/>
  <c r="G195" i="1"/>
  <c r="K194" i="1"/>
  <c r="G194" i="1"/>
  <c r="J194" i="1" s="1"/>
  <c r="K193" i="1"/>
  <c r="G193" i="1"/>
  <c r="J193" i="1" s="1"/>
  <c r="K192" i="1"/>
  <c r="J192" i="1"/>
  <c r="G192" i="1"/>
  <c r="K191" i="1"/>
  <c r="G191" i="1"/>
  <c r="J191" i="1" s="1"/>
  <c r="K190" i="1"/>
  <c r="G190" i="1"/>
  <c r="J190" i="1" s="1"/>
  <c r="K189" i="1"/>
  <c r="G189" i="1"/>
  <c r="J189" i="1" s="1"/>
  <c r="K188" i="1"/>
  <c r="G188" i="1"/>
  <c r="J188" i="1" s="1"/>
  <c r="K187" i="1"/>
  <c r="G187" i="1"/>
  <c r="J187" i="1" s="1"/>
  <c r="K186" i="1"/>
  <c r="G186" i="1"/>
  <c r="J186" i="1" s="1"/>
  <c r="K185" i="1"/>
  <c r="G185" i="1"/>
  <c r="J185" i="1" s="1"/>
  <c r="K184" i="1"/>
  <c r="J184" i="1"/>
  <c r="G184" i="1"/>
  <c r="K183" i="1"/>
  <c r="G183" i="1"/>
  <c r="J183" i="1" s="1"/>
  <c r="K182" i="1"/>
  <c r="G182" i="1"/>
  <c r="J182" i="1" s="1"/>
  <c r="K181" i="1"/>
  <c r="G181" i="1"/>
  <c r="J181" i="1" s="1"/>
  <c r="K180" i="1"/>
  <c r="G180" i="1"/>
  <c r="J180" i="1" s="1"/>
  <c r="K179" i="1"/>
  <c r="G179" i="1"/>
  <c r="J179" i="1" s="1"/>
  <c r="K178" i="1"/>
  <c r="G178" i="1"/>
  <c r="J178" i="1" s="1"/>
  <c r="K177" i="1"/>
  <c r="G177" i="1"/>
  <c r="J177" i="1" s="1"/>
  <c r="K176" i="1"/>
  <c r="H176" i="1"/>
  <c r="E176" i="1"/>
  <c r="D176" i="1"/>
  <c r="C176" i="1"/>
  <c r="K175" i="1"/>
  <c r="G175" i="1"/>
  <c r="J175" i="1" s="1"/>
  <c r="K174" i="1"/>
  <c r="G174" i="1"/>
  <c r="J174" i="1" s="1"/>
  <c r="K173" i="1"/>
  <c r="G173" i="1"/>
  <c r="J173" i="1" s="1"/>
  <c r="K172" i="1"/>
  <c r="G172" i="1"/>
  <c r="J172" i="1" s="1"/>
  <c r="K171" i="1"/>
  <c r="J171" i="1"/>
  <c r="G171" i="1"/>
  <c r="K170" i="1"/>
  <c r="G170" i="1"/>
  <c r="J170" i="1" s="1"/>
  <c r="K169" i="1"/>
  <c r="G169" i="1"/>
  <c r="J169" i="1" s="1"/>
  <c r="K168" i="1"/>
  <c r="J168" i="1"/>
  <c r="G168" i="1"/>
  <c r="H167" i="1"/>
  <c r="K167" i="1" s="1"/>
  <c r="E167" i="1"/>
  <c r="D167" i="1"/>
  <c r="C167" i="1"/>
  <c r="K166" i="1"/>
  <c r="G166" i="1"/>
  <c r="J166" i="1" s="1"/>
  <c r="K165" i="1"/>
  <c r="G165" i="1"/>
  <c r="J165" i="1" s="1"/>
  <c r="K164" i="1"/>
  <c r="J164" i="1"/>
  <c r="G164" i="1"/>
  <c r="K163" i="1"/>
  <c r="G163" i="1"/>
  <c r="J163" i="1" s="1"/>
  <c r="K162" i="1"/>
  <c r="G162" i="1"/>
  <c r="J162" i="1" s="1"/>
  <c r="K161" i="1"/>
  <c r="G161" i="1"/>
  <c r="J161" i="1" s="1"/>
  <c r="K160" i="1"/>
  <c r="G160" i="1"/>
  <c r="J160" i="1" s="1"/>
  <c r="K159" i="1"/>
  <c r="G159" i="1"/>
  <c r="J159" i="1" s="1"/>
  <c r="H158" i="1"/>
  <c r="K158" i="1" s="1"/>
  <c r="E158" i="1"/>
  <c r="D158" i="1"/>
  <c r="C158" i="1"/>
  <c r="K157" i="1"/>
  <c r="G157" i="1"/>
  <c r="J157" i="1" s="1"/>
  <c r="K156" i="1"/>
  <c r="G156" i="1"/>
  <c r="J156" i="1" s="1"/>
  <c r="K155" i="1"/>
  <c r="G155" i="1"/>
  <c r="J155" i="1" s="1"/>
  <c r="K154" i="1"/>
  <c r="G154" i="1"/>
  <c r="J154" i="1" s="1"/>
  <c r="K153" i="1"/>
  <c r="G153" i="1"/>
  <c r="J153" i="1" s="1"/>
  <c r="K152" i="1"/>
  <c r="J152" i="1"/>
  <c r="G152" i="1"/>
  <c r="K151" i="1"/>
  <c r="G151" i="1"/>
  <c r="J151" i="1" s="1"/>
  <c r="K150" i="1"/>
  <c r="G150" i="1"/>
  <c r="J150" i="1" s="1"/>
  <c r="H149" i="1"/>
  <c r="K149" i="1" s="1"/>
  <c r="E149" i="1"/>
  <c r="D149" i="1"/>
  <c r="C149" i="1"/>
  <c r="G149" i="1" s="1"/>
  <c r="J149" i="1" s="1"/>
  <c r="K148" i="1"/>
  <c r="G148" i="1"/>
  <c r="J148" i="1" s="1"/>
  <c r="K147" i="1"/>
  <c r="G147" i="1"/>
  <c r="J147" i="1" s="1"/>
  <c r="K146" i="1"/>
  <c r="G146" i="1"/>
  <c r="J146" i="1" s="1"/>
  <c r="K145" i="1"/>
  <c r="G145" i="1"/>
  <c r="J145" i="1" s="1"/>
  <c r="K144" i="1"/>
  <c r="J144" i="1"/>
  <c r="G144" i="1"/>
  <c r="K143" i="1"/>
  <c r="G143" i="1"/>
  <c r="J143" i="1" s="1"/>
  <c r="K142" i="1"/>
  <c r="G142" i="1"/>
  <c r="J142" i="1" s="1"/>
  <c r="K141" i="1"/>
  <c r="G141" i="1"/>
  <c r="J141" i="1" s="1"/>
  <c r="K140" i="1"/>
  <c r="G140" i="1"/>
  <c r="J140" i="1" s="1"/>
  <c r="K139" i="1"/>
  <c r="G139" i="1"/>
  <c r="J139" i="1" s="1"/>
  <c r="K138" i="1"/>
  <c r="J138" i="1"/>
  <c r="G138" i="1"/>
  <c r="K137" i="1"/>
  <c r="G137" i="1"/>
  <c r="J137" i="1" s="1"/>
  <c r="K136" i="1"/>
  <c r="G136" i="1"/>
  <c r="J136" i="1" s="1"/>
  <c r="K135" i="1"/>
  <c r="J135" i="1"/>
  <c r="G135" i="1"/>
  <c r="K134" i="1"/>
  <c r="G134" i="1"/>
  <c r="J134" i="1" s="1"/>
  <c r="K133" i="1"/>
  <c r="G133" i="1"/>
  <c r="J133" i="1" s="1"/>
  <c r="K132" i="1"/>
  <c r="G132" i="1"/>
  <c r="J132" i="1" s="1"/>
  <c r="H131" i="1"/>
  <c r="K131" i="1" s="1"/>
  <c r="E131" i="1"/>
  <c r="D131" i="1"/>
  <c r="C131" i="1"/>
  <c r="K130" i="1"/>
  <c r="G130" i="1"/>
  <c r="J130" i="1" s="1"/>
  <c r="K129" i="1"/>
  <c r="G129" i="1"/>
  <c r="J129" i="1" s="1"/>
  <c r="K128" i="1"/>
  <c r="G128" i="1"/>
  <c r="J128" i="1" s="1"/>
  <c r="K127" i="1"/>
  <c r="G127" i="1"/>
  <c r="J127" i="1" s="1"/>
  <c r="K126" i="1"/>
  <c r="G126" i="1"/>
  <c r="J126" i="1" s="1"/>
  <c r="K125" i="1"/>
  <c r="G125" i="1"/>
  <c r="J125" i="1" s="1"/>
  <c r="K124" i="1"/>
  <c r="G124" i="1"/>
  <c r="J124" i="1" s="1"/>
  <c r="K123" i="1"/>
  <c r="G123" i="1"/>
  <c r="J123" i="1" s="1"/>
  <c r="H122" i="1"/>
  <c r="K122" i="1" s="1"/>
  <c r="E122" i="1"/>
  <c r="D122" i="1"/>
  <c r="C122" i="1"/>
  <c r="K121" i="1"/>
  <c r="G121" i="1"/>
  <c r="J121" i="1" s="1"/>
  <c r="K120" i="1"/>
  <c r="G120" i="1"/>
  <c r="J120" i="1" s="1"/>
  <c r="K119" i="1"/>
  <c r="G119" i="1"/>
  <c r="J119" i="1" s="1"/>
  <c r="K118" i="1"/>
  <c r="J118" i="1"/>
  <c r="G118" i="1"/>
  <c r="K117" i="1"/>
  <c r="G117" i="1"/>
  <c r="J117" i="1" s="1"/>
  <c r="K116" i="1"/>
  <c r="G116" i="1"/>
  <c r="J116" i="1" s="1"/>
  <c r="K115" i="1"/>
  <c r="J115" i="1"/>
  <c r="G115" i="1"/>
  <c r="K114" i="1"/>
  <c r="G114" i="1"/>
  <c r="J114" i="1" s="1"/>
  <c r="K113" i="1"/>
  <c r="G113" i="1"/>
  <c r="J113" i="1" s="1"/>
  <c r="K112" i="1"/>
  <c r="G112" i="1"/>
  <c r="J112" i="1" s="1"/>
  <c r="K111" i="1"/>
  <c r="G111" i="1"/>
  <c r="J111" i="1" s="1"/>
  <c r="K110" i="1"/>
  <c r="G110" i="1"/>
  <c r="J110" i="1" s="1"/>
  <c r="K109" i="1"/>
  <c r="G109" i="1"/>
  <c r="J109" i="1" s="1"/>
  <c r="K108" i="1"/>
  <c r="G108" i="1"/>
  <c r="J108" i="1" s="1"/>
  <c r="K107" i="1"/>
  <c r="J107" i="1"/>
  <c r="G107" i="1"/>
  <c r="K106" i="1"/>
  <c r="G106" i="1"/>
  <c r="J106" i="1" s="1"/>
  <c r="K105" i="1"/>
  <c r="G105" i="1"/>
  <c r="J105" i="1" s="1"/>
  <c r="H104" i="1"/>
  <c r="K104" i="1" s="1"/>
  <c r="E104" i="1"/>
  <c r="G104" i="1" s="1"/>
  <c r="J104" i="1" s="1"/>
  <c r="D104" i="1"/>
  <c r="C104" i="1"/>
  <c r="K103" i="1"/>
  <c r="J103" i="1"/>
  <c r="G103" i="1"/>
  <c r="K102" i="1"/>
  <c r="G102" i="1"/>
  <c r="J102" i="1" s="1"/>
  <c r="K101" i="1"/>
  <c r="G101" i="1"/>
  <c r="J101" i="1" s="1"/>
  <c r="K100" i="1"/>
  <c r="G100" i="1"/>
  <c r="J100" i="1" s="1"/>
  <c r="K99" i="1"/>
  <c r="G99" i="1"/>
  <c r="J99" i="1" s="1"/>
  <c r="K98" i="1"/>
  <c r="G98" i="1"/>
  <c r="J98" i="1" s="1"/>
  <c r="K97" i="1"/>
  <c r="G97" i="1"/>
  <c r="J97" i="1" s="1"/>
  <c r="K96" i="1"/>
  <c r="J96" i="1"/>
  <c r="G96" i="1"/>
  <c r="K95" i="1"/>
  <c r="J95" i="1"/>
  <c r="G95" i="1"/>
  <c r="K94" i="1"/>
  <c r="G94" i="1"/>
  <c r="J94" i="1" s="1"/>
  <c r="K93" i="1"/>
  <c r="G93" i="1"/>
  <c r="J93" i="1" s="1"/>
  <c r="K92" i="1"/>
  <c r="G92" i="1"/>
  <c r="J92" i="1" s="1"/>
  <c r="K91" i="1"/>
  <c r="G91" i="1"/>
  <c r="J91" i="1" s="1"/>
  <c r="K90" i="1"/>
  <c r="J90" i="1"/>
  <c r="G90" i="1"/>
  <c r="K89" i="1"/>
  <c r="G89" i="1"/>
  <c r="J89" i="1" s="1"/>
  <c r="K88" i="1"/>
  <c r="G88" i="1"/>
  <c r="J88" i="1" s="1"/>
  <c r="K87" i="1"/>
  <c r="J87" i="1"/>
  <c r="G87" i="1"/>
  <c r="H86" i="1"/>
  <c r="K86" i="1" s="1"/>
  <c r="E86" i="1"/>
  <c r="D86" i="1"/>
  <c r="C86" i="1"/>
  <c r="K85" i="1"/>
  <c r="G85" i="1"/>
  <c r="J85" i="1" s="1"/>
  <c r="K84" i="1"/>
  <c r="G84" i="1"/>
  <c r="J84" i="1" s="1"/>
  <c r="K83" i="1"/>
  <c r="G83" i="1"/>
  <c r="J83" i="1" s="1"/>
  <c r="K82" i="1"/>
  <c r="J82" i="1"/>
  <c r="G82" i="1"/>
  <c r="K81" i="1"/>
  <c r="G81" i="1"/>
  <c r="J81" i="1" s="1"/>
  <c r="K80" i="1"/>
  <c r="G80" i="1"/>
  <c r="J80" i="1" s="1"/>
  <c r="K79" i="1"/>
  <c r="J79" i="1"/>
  <c r="G79" i="1"/>
  <c r="K78" i="1"/>
  <c r="E78" i="1"/>
  <c r="G78" i="1" s="1"/>
  <c r="J78" i="1" s="1"/>
  <c r="D78" i="1"/>
  <c r="J77" i="1"/>
  <c r="H77" i="1"/>
  <c r="K77" i="1" s="1"/>
  <c r="E77" i="1"/>
  <c r="D77" i="1"/>
  <c r="G77" i="1" s="1"/>
  <c r="K76" i="1"/>
  <c r="G76" i="1"/>
  <c r="J76" i="1" s="1"/>
  <c r="K75" i="1"/>
  <c r="G75" i="1"/>
  <c r="J75" i="1" s="1"/>
  <c r="K74" i="1"/>
  <c r="G74" i="1"/>
  <c r="J74" i="1" s="1"/>
  <c r="K73" i="1"/>
  <c r="G73" i="1"/>
  <c r="J73" i="1" s="1"/>
  <c r="K72" i="1"/>
  <c r="G72" i="1"/>
  <c r="J72" i="1" s="1"/>
  <c r="K71" i="1"/>
  <c r="J71" i="1"/>
  <c r="G71" i="1"/>
  <c r="K70" i="1"/>
  <c r="G70" i="1"/>
  <c r="J70" i="1" s="1"/>
  <c r="K69" i="1"/>
  <c r="G69" i="1"/>
  <c r="J69" i="1" s="1"/>
  <c r="H68" i="1"/>
  <c r="K68" i="1" s="1"/>
  <c r="E68" i="1"/>
  <c r="D68" i="1"/>
  <c r="C68" i="1"/>
  <c r="G68" i="1" s="1"/>
  <c r="J68" i="1" s="1"/>
  <c r="K67" i="1"/>
  <c r="G67" i="1"/>
  <c r="J67" i="1" s="1"/>
  <c r="K66" i="1"/>
  <c r="G66" i="1"/>
  <c r="J66" i="1" s="1"/>
  <c r="K65" i="1"/>
  <c r="G65" i="1"/>
  <c r="J65" i="1" s="1"/>
  <c r="K64" i="1"/>
  <c r="G64" i="1"/>
  <c r="J64" i="1" s="1"/>
  <c r="K63" i="1"/>
  <c r="J63" i="1"/>
  <c r="G63" i="1"/>
  <c r="K62" i="1"/>
  <c r="G62" i="1"/>
  <c r="J62" i="1" s="1"/>
  <c r="K61" i="1"/>
  <c r="G61" i="1"/>
  <c r="J61" i="1" s="1"/>
  <c r="K60" i="1"/>
  <c r="G60" i="1"/>
  <c r="J60" i="1" s="1"/>
  <c r="K59" i="1"/>
  <c r="G59" i="1"/>
  <c r="J59" i="1" s="1"/>
  <c r="K58" i="1"/>
  <c r="G58" i="1"/>
  <c r="J58" i="1" s="1"/>
  <c r="K57" i="1"/>
  <c r="J57" i="1"/>
  <c r="G57" i="1"/>
  <c r="K56" i="1"/>
  <c r="G56" i="1"/>
  <c r="J56" i="1" s="1"/>
  <c r="K55" i="1"/>
  <c r="G55" i="1"/>
  <c r="J55" i="1" s="1"/>
  <c r="K54" i="1"/>
  <c r="J54" i="1"/>
  <c r="G54" i="1"/>
  <c r="K53" i="1"/>
  <c r="G53" i="1"/>
  <c r="J53" i="1" s="1"/>
  <c r="K52" i="1"/>
  <c r="G52" i="1"/>
  <c r="J52" i="1" s="1"/>
  <c r="K51" i="1"/>
  <c r="G51" i="1"/>
  <c r="J51" i="1" s="1"/>
  <c r="H50" i="1"/>
  <c r="K50" i="1" s="1"/>
  <c r="E50" i="1"/>
  <c r="D50" i="1"/>
  <c r="C50" i="1"/>
  <c r="K49" i="1"/>
  <c r="G49" i="1"/>
  <c r="J49" i="1" s="1"/>
  <c r="K48" i="1"/>
  <c r="G48" i="1"/>
  <c r="J48" i="1" s="1"/>
  <c r="K47" i="1"/>
  <c r="G47" i="1"/>
  <c r="J47" i="1" s="1"/>
  <c r="K46" i="1"/>
  <c r="G46" i="1"/>
  <c r="J46" i="1" s="1"/>
  <c r="K45" i="1"/>
  <c r="G45" i="1"/>
  <c r="J45" i="1" s="1"/>
  <c r="K44" i="1"/>
  <c r="G44" i="1"/>
  <c r="J44" i="1" s="1"/>
  <c r="K43" i="1"/>
  <c r="G43" i="1"/>
  <c r="J43" i="1" s="1"/>
  <c r="K42" i="1"/>
  <c r="G42" i="1"/>
  <c r="J42" i="1" s="1"/>
  <c r="J41" i="1"/>
  <c r="H41" i="1"/>
  <c r="K41" i="1" s="1"/>
  <c r="E41" i="1"/>
  <c r="D41" i="1"/>
  <c r="G41" i="1" s="1"/>
  <c r="K40" i="1"/>
  <c r="J40" i="1"/>
  <c r="G40" i="1"/>
  <c r="K39" i="1"/>
  <c r="G39" i="1"/>
  <c r="J39" i="1" s="1"/>
  <c r="K38" i="1"/>
  <c r="G38" i="1"/>
  <c r="J38" i="1" s="1"/>
  <c r="K37" i="1"/>
  <c r="G37" i="1"/>
  <c r="J37" i="1" s="1"/>
  <c r="K36" i="1"/>
  <c r="G36" i="1"/>
  <c r="J36" i="1" s="1"/>
  <c r="K35" i="1"/>
  <c r="G35" i="1"/>
  <c r="J35" i="1" s="1"/>
  <c r="K34" i="1"/>
  <c r="J34" i="1"/>
  <c r="G34" i="1"/>
  <c r="K33" i="1"/>
  <c r="G33" i="1"/>
  <c r="J33" i="1" s="1"/>
  <c r="K32" i="1"/>
  <c r="G32" i="1"/>
  <c r="J32" i="1" s="1"/>
  <c r="K31" i="1"/>
  <c r="J31" i="1"/>
  <c r="G31" i="1"/>
  <c r="K30" i="1"/>
  <c r="G30" i="1"/>
  <c r="J30" i="1" s="1"/>
  <c r="K29" i="1"/>
  <c r="G29" i="1"/>
  <c r="J29" i="1" s="1"/>
  <c r="K28" i="1"/>
  <c r="J28" i="1"/>
  <c r="G28" i="1"/>
  <c r="K27" i="1"/>
  <c r="G27" i="1"/>
  <c r="J27" i="1" s="1"/>
  <c r="K26" i="1"/>
  <c r="G26" i="1"/>
  <c r="J26" i="1" s="1"/>
  <c r="K25" i="1"/>
  <c r="G25" i="1"/>
  <c r="J25" i="1" s="1"/>
  <c r="K24" i="1"/>
  <c r="G24" i="1"/>
  <c r="J24" i="1" s="1"/>
  <c r="K23" i="1"/>
  <c r="H23" i="1"/>
  <c r="F23" i="1"/>
  <c r="E23" i="1"/>
  <c r="D23" i="1"/>
  <c r="C23" i="1"/>
  <c r="K22" i="1"/>
  <c r="G22" i="1"/>
  <c r="J22" i="1" s="1"/>
  <c r="K21" i="1"/>
  <c r="G21" i="1"/>
  <c r="J21" i="1" s="1"/>
  <c r="K20" i="1"/>
  <c r="G20" i="1"/>
  <c r="J20" i="1" s="1"/>
  <c r="K19" i="1"/>
  <c r="G19" i="1"/>
  <c r="J19" i="1" s="1"/>
  <c r="K18" i="1"/>
  <c r="G18" i="1"/>
  <c r="J18" i="1" s="1"/>
  <c r="K17" i="1"/>
  <c r="G17" i="1"/>
  <c r="J17" i="1" s="1"/>
  <c r="K16" i="1"/>
  <c r="G16" i="1"/>
  <c r="J16" i="1" s="1"/>
  <c r="K15" i="1"/>
  <c r="G15" i="1"/>
  <c r="J15" i="1" s="1"/>
  <c r="H14" i="1"/>
  <c r="K14" i="1" s="1"/>
  <c r="F14" i="1"/>
  <c r="E14" i="1"/>
  <c r="D14" i="1"/>
  <c r="C14" i="1"/>
  <c r="G14" i="1" s="1"/>
  <c r="J14" i="1" s="1"/>
  <c r="K13" i="1"/>
  <c r="G13" i="1"/>
  <c r="J13" i="1" s="1"/>
  <c r="K12" i="1"/>
  <c r="G12" i="1"/>
  <c r="J12" i="1" s="1"/>
  <c r="K11" i="1"/>
  <c r="G11" i="1"/>
  <c r="J11" i="1" s="1"/>
  <c r="K10" i="1"/>
  <c r="G10" i="1"/>
  <c r="J10" i="1" s="1"/>
  <c r="K9" i="1"/>
  <c r="J9" i="1"/>
  <c r="G9" i="1"/>
  <c r="K8" i="1"/>
  <c r="G8" i="1"/>
  <c r="J8" i="1" s="1"/>
  <c r="K7" i="1"/>
  <c r="G7" i="1"/>
  <c r="J7" i="1" s="1"/>
  <c r="K6" i="1"/>
  <c r="J6" i="1"/>
  <c r="G6" i="1"/>
  <c r="H5" i="1"/>
  <c r="K5" i="1" s="1"/>
  <c r="E5" i="1"/>
  <c r="D5" i="1"/>
  <c r="C5" i="1"/>
  <c r="K4" i="1"/>
  <c r="G4" i="1"/>
  <c r="J4" i="1" s="1"/>
  <c r="K3" i="1"/>
  <c r="G3" i="1"/>
  <c r="J3" i="1" s="1"/>
  <c r="K2" i="1"/>
  <c r="J2" i="1"/>
  <c r="G2" i="1"/>
  <c r="G5" i="1" l="1"/>
  <c r="J5" i="1" s="1"/>
  <c r="G86" i="1"/>
  <c r="J86" i="1" s="1"/>
  <c r="G122" i="1"/>
  <c r="J122" i="1" s="1"/>
  <c r="G158" i="1"/>
  <c r="J158" i="1" s="1"/>
  <c r="G167" i="1"/>
  <c r="J167" i="1" s="1"/>
  <c r="G176" i="1"/>
  <c r="J176" i="1" s="1"/>
  <c r="G266" i="1"/>
  <c r="J266" i="1" s="1"/>
  <c r="G50" i="1"/>
  <c r="J50" i="1" s="1"/>
  <c r="G131" i="1"/>
  <c r="J131" i="1" s="1"/>
  <c r="G203" i="1"/>
  <c r="J203" i="1" s="1"/>
  <c r="G248" i="1"/>
  <c r="J248" i="1" s="1"/>
  <c r="G23" i="1"/>
  <c r="J23" i="1" s="1"/>
  <c r="G239" i="1"/>
  <c r="J239" i="1" s="1"/>
  <c r="G257" i="1"/>
  <c r="J257" i="1" s="1"/>
</calcChain>
</file>

<file path=xl/sharedStrings.xml><?xml version="1.0" encoding="utf-8"?>
<sst xmlns="http://schemas.openxmlformats.org/spreadsheetml/2006/main" count="290" uniqueCount="50">
  <si>
    <t>Los Angeles Dodgers</t>
  </si>
  <si>
    <t>Boston Red Sox</t>
  </si>
  <si>
    <t>New York Yankees</t>
  </si>
  <si>
    <t>San Francisco Giants</t>
  </si>
  <si>
    <t>Detroit Tigers</t>
  </si>
  <si>
    <t>Washington Nationals</t>
  </si>
  <si>
    <t>Toronto Blue Jays</t>
  </si>
  <si>
    <t>Baltimore Orioles</t>
  </si>
  <si>
    <t>Chicago Cubs</t>
  </si>
  <si>
    <t>Los Angeles Angels</t>
  </si>
  <si>
    <t>Texas Rangers</t>
  </si>
  <si>
    <t>Seattle Mariners</t>
  </si>
  <si>
    <t>Kansas City Royals</t>
  </si>
  <si>
    <t>St. Louis Cardinals</t>
  </si>
  <si>
    <t>New York Mets</t>
  </si>
  <si>
    <t>Colorado Rockies</t>
  </si>
  <si>
    <t>Houston Astros</t>
  </si>
  <si>
    <t>Cleveland Indians</t>
  </si>
  <si>
    <t>Minnesota Twins</t>
  </si>
  <si>
    <t>Miami Marlins</t>
  </si>
  <si>
    <t>Atlanta Braves</t>
  </si>
  <si>
    <t>Philadelphia Phillies</t>
  </si>
  <si>
    <t>Arizona Diamondbacks</t>
  </si>
  <si>
    <t>Pittsburgh Pirates</t>
  </si>
  <si>
    <t>Cincinnati Reds</t>
  </si>
  <si>
    <t>Chicago White Sox</t>
  </si>
  <si>
    <t>San Diego Padres</t>
  </si>
  <si>
    <t>Tampa Bay Rays</t>
  </si>
  <si>
    <t>Oakland Athletics</t>
  </si>
  <si>
    <t>Milwaukee Brewers</t>
  </si>
  <si>
    <t>Team</t>
  </si>
  <si>
    <t>Win %</t>
  </si>
  <si>
    <t>Year</t>
  </si>
  <si>
    <t>% of Payroll Position Player</t>
  </si>
  <si>
    <t>% of Payroll Pitcher</t>
  </si>
  <si>
    <t>Runs</t>
  </si>
  <si>
    <t>OPS</t>
  </si>
  <si>
    <t>WAR</t>
  </si>
  <si>
    <t>Team Payroll</t>
  </si>
  <si>
    <t>ERA</t>
  </si>
  <si>
    <t>ERA-</t>
  </si>
  <si>
    <t>FIP</t>
  </si>
  <si>
    <t>FIP-</t>
  </si>
  <si>
    <t>Position Player Payroll</t>
  </si>
  <si>
    <t>Pitcher Payroll</t>
  </si>
  <si>
    <t>Catcher Payroll</t>
  </si>
  <si>
    <t>infield Payroll</t>
  </si>
  <si>
    <t>Outifled Payroll</t>
  </si>
  <si>
    <t>DH Payroll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</si>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</sst>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71" formatCode="0.0%"/>
    <numFmt numFmtId="172" formatCode="0.000"/>
    <numFmt numFmtId="176" formatCode="&quot;$&quot;#,##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96969"/>
      <name val="Helvetica"/>
      <family val="2"/>
    </font>
    <font>
      <b/>
      <sz val="12"/>
      <color rgb="FF696969"/>
      <name val="Helvetica"/>
      <family val="2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indexed="8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6" fontId="2" fillId="0" borderId="0" xfId="0" applyNumberFormat="1" applyFont="1"/>
    <xf numFmtId="0" fontId="5" fillId="0" borderId="0" xfId="0" applyFont="1"/>
    <xf numFmtId="0" fontId="5" fillId="0" borderId="0" xfId="3" applyFont="1"/>
    <xf numFmtId="0" fontId="5" fillId="0" borderId="0" xfId="0" applyNumberFormat="1" applyFont="1"/>
    <xf numFmtId="171" fontId="0" fillId="0" borderId="0" xfId="2" applyNumberFormat="1" applyFont="1"/>
    <xf numFmtId="1" fontId="0" fillId="0" borderId="1" xfId="0" applyNumberFormat="1" applyBorder="1" applyAlignment="1">
      <alignment vertical="top"/>
    </xf>
    <xf numFmtId="172" fontId="0" fillId="0" borderId="1" xfId="0" applyNumberFormat="1" applyBorder="1" applyAlignment="1">
      <alignment vertical="top"/>
    </xf>
    <xf numFmtId="1" fontId="0" fillId="0" borderId="0" xfId="0" applyNumberFormat="1" applyBorder="1" applyAlignment="1">
      <alignment vertical="top"/>
    </xf>
    <xf numFmtId="172" fontId="0" fillId="0" borderId="0" xfId="0" applyNumberFormat="1" applyBorder="1" applyAlignment="1">
      <alignment vertical="top"/>
    </xf>
    <xf numFmtId="2" fontId="0" fillId="0" borderId="1" xfId="0" applyNumberFormat="1" applyBorder="1" applyAlignment="1">
      <alignment vertical="top"/>
    </xf>
    <xf numFmtId="1" fontId="0" fillId="0" borderId="2" xfId="0" applyNumberFormat="1" applyBorder="1" applyAlignment="1">
      <alignment vertical="top"/>
    </xf>
    <xf numFmtId="172" fontId="0" fillId="0" borderId="2" xfId="0" applyNumberFormat="1" applyBorder="1" applyAlignment="1">
      <alignment vertical="top"/>
    </xf>
    <xf numFmtId="2" fontId="0" fillId="0" borderId="2" xfId="0" applyNumberFormat="1" applyBorder="1" applyAlignment="1">
      <alignment vertical="top"/>
    </xf>
    <xf numFmtId="2" fontId="0" fillId="0" borderId="0" xfId="0" applyNumberFormat="1" applyBorder="1" applyAlignment="1">
      <alignment vertical="top"/>
    </xf>
    <xf numFmtId="1" fontId="8" fillId="0" borderId="4" xfId="0" applyNumberFormat="1" applyFont="1" applyBorder="1" applyAlignment="1">
      <alignment vertical="top"/>
    </xf>
    <xf numFmtId="172" fontId="8" fillId="0" borderId="5" xfId="0" applyNumberFormat="1" applyFont="1" applyBorder="1" applyAlignment="1">
      <alignment vertical="top"/>
    </xf>
    <xf numFmtId="1" fontId="8" fillId="0" borderId="6" xfId="0" applyNumberFormat="1" applyFont="1" applyBorder="1" applyAlignment="1">
      <alignment vertical="top"/>
    </xf>
    <xf numFmtId="172" fontId="8" fillId="0" borderId="7" xfId="0" applyNumberFormat="1" applyFont="1" applyBorder="1" applyAlignment="1">
      <alignment vertical="top"/>
    </xf>
    <xf numFmtId="2" fontId="8" fillId="0" borderId="7" xfId="0" applyNumberFormat="1" applyFont="1" applyBorder="1" applyAlignment="1">
      <alignment vertical="top"/>
    </xf>
    <xf numFmtId="2" fontId="8" fillId="0" borderId="5" xfId="0" applyNumberFormat="1" applyFont="1" applyBorder="1" applyAlignment="1">
      <alignment vertical="top"/>
    </xf>
    <xf numFmtId="2" fontId="0" fillId="0" borderId="0" xfId="0" applyNumberFormat="1"/>
    <xf numFmtId="172" fontId="0" fillId="0" borderId="0" xfId="0" applyNumberFormat="1"/>
    <xf numFmtId="176" fontId="0" fillId="0" borderId="0" xfId="0" applyNumberFormat="1"/>
    <xf numFmtId="3" fontId="3" fillId="0" borderId="0" xfId="0" applyNumberFormat="1" applyFont="1"/>
    <xf numFmtId="0" fontId="5" fillId="0" borderId="0" xfId="1" applyNumberFormat="1" applyFont="1"/>
    <xf numFmtId="1" fontId="5" fillId="0" borderId="0" xfId="0" applyNumberFormat="1" applyFont="1"/>
    <xf numFmtId="10" fontId="6" fillId="0" borderId="0" xfId="2" applyNumberFormat="1" applyFont="1"/>
    <xf numFmtId="10" fontId="0" fillId="0" borderId="0" xfId="2" applyNumberFormat="1" applyFont="1"/>
    <xf numFmtId="10" fontId="0" fillId="0" borderId="0" xfId="2" applyNumberFormat="1" applyFont="1" applyFill="1" applyBorder="1"/>
    <xf numFmtId="2" fontId="7" fillId="2" borderId="3" xfId="0" applyNumberFormat="1" applyFont="1" applyFill="1" applyBorder="1" applyAlignment="1">
      <alignment vertical="top"/>
    </xf>
    <xf numFmtId="1" fontId="0" fillId="0" borderId="0" xfId="0" applyNumberFormat="1"/>
    <xf numFmtId="1" fontId="7" fillId="2" borderId="3" xfId="0" applyNumberFormat="1" applyFont="1" applyFill="1" applyBorder="1" applyAlignment="1">
      <alignment vertical="top"/>
    </xf>
    <xf numFmtId="2" fontId="7" fillId="2" borderId="8" xfId="0" applyNumberFormat="1" applyFont="1" applyFill="1" applyBorder="1" applyAlignment="1">
      <alignment vertical="top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6EDF-F6A9-5545-87D7-A2129E08CD54}">
  <dimension ref="A1:X271"/>
  <sheetViews>
    <sheetView tabSelected="1" zoomScale="69" zoomScaleNormal="100" workbookViewId="0">
      <selection activeCell="V11" sqref="V11"/>
    </sheetView>
  </sheetViews>
  <sheetFormatPr baseColWidth="10" defaultRowHeight="16" x14ac:dyDescent="0.2"/>
  <cols>
    <col min="1" max="1" width="11.5" style="26" bestFit="1" customWidth="1"/>
    <col min="2" max="2" width="21.83203125" style="2" customWidth="1"/>
    <col min="3" max="3" width="30.33203125" style="4" customWidth="1"/>
    <col min="4" max="4" width="26.5" style="4" customWidth="1"/>
    <col min="5" max="5" width="24.6640625" style="4" customWidth="1"/>
    <col min="6" max="6" width="15.83203125" style="4" customWidth="1"/>
    <col min="7" max="7" width="19.33203125" style="4" customWidth="1"/>
    <col min="8" max="8" width="16.6640625" style="4" customWidth="1"/>
    <col min="9" max="9" width="26.83203125" style="4" customWidth="1"/>
    <col min="10" max="10" width="28.1640625" style="27" customWidth="1"/>
    <col min="11" max="11" width="17" style="28" customWidth="1"/>
    <col min="12" max="12" width="10.83203125" style="31"/>
    <col min="13" max="13" width="10.83203125" style="22"/>
    <col min="14" max="14" width="10.83203125" style="21"/>
    <col min="15" max="15" width="10.83203125" style="31"/>
    <col min="16" max="16" width="10.83203125" style="21"/>
    <col min="17" max="17" width="10.83203125" style="31"/>
    <col min="18" max="18" width="10.83203125" style="21"/>
    <col min="19" max="19" width="10.83203125" style="31"/>
    <col min="24" max="24" width="12.1640625" bestFit="1" customWidth="1"/>
  </cols>
  <sheetData>
    <row r="1" spans="1:24" x14ac:dyDescent="0.2">
      <c r="A1" s="26" t="s">
        <v>32</v>
      </c>
      <c r="B1" s="3" t="s">
        <v>30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43</v>
      </c>
      <c r="H1" s="4" t="s">
        <v>44</v>
      </c>
      <c r="I1" s="4" t="s">
        <v>38</v>
      </c>
      <c r="J1" s="27" t="s">
        <v>33</v>
      </c>
      <c r="K1" s="28" t="s">
        <v>34</v>
      </c>
      <c r="L1" s="8" t="s">
        <v>35</v>
      </c>
      <c r="M1" s="9" t="s">
        <v>36</v>
      </c>
      <c r="N1" s="14" t="s">
        <v>37</v>
      </c>
      <c r="O1" s="32" t="s">
        <v>49</v>
      </c>
      <c r="P1" s="30" t="s">
        <v>39</v>
      </c>
      <c r="Q1" s="32" t="s">
        <v>40</v>
      </c>
      <c r="R1" s="30" t="s">
        <v>41</v>
      </c>
      <c r="S1" s="32" t="s">
        <v>42</v>
      </c>
      <c r="T1" s="33" t="s">
        <v>31</v>
      </c>
    </row>
    <row r="2" spans="1:24" x14ac:dyDescent="0.2">
      <c r="A2" s="26">
        <v>2019</v>
      </c>
      <c r="B2" s="2" t="s">
        <v>9</v>
      </c>
      <c r="C2" s="4">
        <v>879067</v>
      </c>
      <c r="D2" s="4">
        <v>45859100</v>
      </c>
      <c r="E2" s="4">
        <v>47043383</v>
      </c>
      <c r="F2" s="4">
        <v>650000</v>
      </c>
      <c r="G2" s="4">
        <f>SUM(B2:F2)</f>
        <v>94431550</v>
      </c>
      <c r="H2" s="4">
        <v>19885031</v>
      </c>
      <c r="I2" s="4">
        <v>161270385</v>
      </c>
      <c r="J2" s="27">
        <f>G2/I2</f>
        <v>0.58554799134385394</v>
      </c>
      <c r="K2" s="28">
        <f>H2/I2</f>
        <v>0.12330243398377204</v>
      </c>
      <c r="L2" s="6">
        <v>769</v>
      </c>
      <c r="M2" s="7">
        <v>0.746</v>
      </c>
      <c r="N2" s="10">
        <v>20.3</v>
      </c>
      <c r="O2" s="6">
        <v>72</v>
      </c>
      <c r="P2" s="10">
        <v>5.12</v>
      </c>
      <c r="Q2" s="6">
        <v>114</v>
      </c>
      <c r="R2" s="10">
        <v>5.04</v>
      </c>
      <c r="S2" s="6">
        <v>110</v>
      </c>
      <c r="T2" s="5">
        <f>O2/162</f>
        <v>0.44444444444444442</v>
      </c>
    </row>
    <row r="3" spans="1:24" x14ac:dyDescent="0.2">
      <c r="A3" s="26">
        <v>2018</v>
      </c>
      <c r="B3" s="2" t="s">
        <v>9</v>
      </c>
      <c r="C3" s="4">
        <v>767660</v>
      </c>
      <c r="D3" s="4">
        <v>12335450</v>
      </c>
      <c r="E3" s="4">
        <v>59107803</v>
      </c>
      <c r="F3" s="4">
        <v>545000</v>
      </c>
      <c r="G3" s="4">
        <f>SUM(B3:F3)</f>
        <v>72755913</v>
      </c>
      <c r="H3" s="4">
        <v>19158170</v>
      </c>
      <c r="I3" s="4">
        <v>173717599</v>
      </c>
      <c r="J3" s="27">
        <f>G3/I3</f>
        <v>0.41881716889260023</v>
      </c>
      <c r="K3" s="28">
        <f>H3/I3</f>
        <v>0.11028341463549701</v>
      </c>
      <c r="L3" s="6">
        <v>721</v>
      </c>
      <c r="M3" s="7">
        <v>0.72599999999999998</v>
      </c>
      <c r="N3" s="10">
        <v>24.4</v>
      </c>
      <c r="O3" s="6">
        <v>80</v>
      </c>
      <c r="P3" s="10">
        <v>4.1500000000000004</v>
      </c>
      <c r="Q3" s="6">
        <v>100</v>
      </c>
      <c r="R3" s="10">
        <v>4.3600000000000003</v>
      </c>
      <c r="S3" s="6">
        <v>103</v>
      </c>
      <c r="T3" s="5">
        <f t="shared" ref="T3:T66" si="0">O3/162</f>
        <v>0.49382716049382713</v>
      </c>
    </row>
    <row r="4" spans="1:24" x14ac:dyDescent="0.2">
      <c r="A4" s="26">
        <v>2017</v>
      </c>
      <c r="B4" s="2" t="s">
        <v>9</v>
      </c>
      <c r="C4" s="4">
        <v>2353834</v>
      </c>
      <c r="D4" s="4">
        <v>17719577</v>
      </c>
      <c r="E4" s="4">
        <v>33466246</v>
      </c>
      <c r="F4" s="4">
        <v>26000000</v>
      </c>
      <c r="G4" s="4">
        <f>SUM(B4:F4)</f>
        <v>79539657</v>
      </c>
      <c r="H4" s="4">
        <v>29646168</v>
      </c>
      <c r="I4" s="4">
        <v>166161209</v>
      </c>
      <c r="J4" s="27">
        <f>G4/I4</f>
        <v>0.47868968623115882</v>
      </c>
      <c r="K4" s="28">
        <f>H4/I4</f>
        <v>0.17841810479364048</v>
      </c>
      <c r="L4" s="6">
        <v>710</v>
      </c>
      <c r="M4" s="7">
        <v>0.71199999999999997</v>
      </c>
      <c r="N4" s="10">
        <v>18.8</v>
      </c>
      <c r="O4" s="6">
        <v>80</v>
      </c>
      <c r="P4" s="10">
        <v>4.2</v>
      </c>
      <c r="Q4" s="6">
        <v>98</v>
      </c>
      <c r="R4" s="10">
        <v>4.43</v>
      </c>
      <c r="S4" s="6">
        <v>101</v>
      </c>
      <c r="T4" s="5">
        <f t="shared" si="0"/>
        <v>0.49382716049382713</v>
      </c>
      <c r="X4" s="23"/>
    </row>
    <row r="5" spans="1:24" x14ac:dyDescent="0.2">
      <c r="A5" s="26">
        <v>2016</v>
      </c>
      <c r="B5" s="2" t="s">
        <v>9</v>
      </c>
      <c r="C5" s="4">
        <f>2800000+513000</f>
        <v>3313000</v>
      </c>
      <c r="D5" s="4">
        <f>650000+525000+1500000+532500+5500000+6000000</f>
        <v>14707500</v>
      </c>
      <c r="E5" s="4">
        <f>16083333+1375000+1000000+3400000</f>
        <v>21858333</v>
      </c>
      <c r="F5" s="4">
        <v>25000000</v>
      </c>
      <c r="G5" s="4">
        <f>SUM(B5:F5)</f>
        <v>64878833</v>
      </c>
      <c r="H5" s="4">
        <f>32670000+17714500</f>
        <v>50384500</v>
      </c>
      <c r="I5" s="4">
        <v>164673333</v>
      </c>
      <c r="J5" s="27">
        <f>G5/I5</f>
        <v>0.39398506010684803</v>
      </c>
      <c r="K5" s="29">
        <f>H5/I5</f>
        <v>0.30596635825668261</v>
      </c>
      <c r="L5" s="6">
        <v>717</v>
      </c>
      <c r="M5" s="7">
        <v>0.72599999999999998</v>
      </c>
      <c r="N5" s="10">
        <v>19.2</v>
      </c>
      <c r="O5" s="6">
        <v>74</v>
      </c>
      <c r="P5" s="10">
        <v>4.28</v>
      </c>
      <c r="Q5" s="6">
        <v>105</v>
      </c>
      <c r="R5" s="10">
        <v>4.62</v>
      </c>
      <c r="S5" s="6">
        <v>110</v>
      </c>
      <c r="T5" s="5">
        <f t="shared" si="0"/>
        <v>0.4567901234567901</v>
      </c>
    </row>
    <row r="6" spans="1:24" x14ac:dyDescent="0.2">
      <c r="A6" s="26">
        <v>2015</v>
      </c>
      <c r="B6" s="2" t="s">
        <v>9</v>
      </c>
      <c r="C6" s="4">
        <v>6040819</v>
      </c>
      <c r="D6" s="4">
        <v>17199687</v>
      </c>
      <c r="E6" s="4">
        <v>15619315</v>
      </c>
      <c r="F6" s="4">
        <v>26312295</v>
      </c>
      <c r="G6" s="4">
        <f>SUM(B6:F6)</f>
        <v>65172116</v>
      </c>
      <c r="H6" s="4">
        <v>41339967</v>
      </c>
      <c r="I6" s="4">
        <v>151348162</v>
      </c>
      <c r="J6" s="27">
        <f>G6/I6</f>
        <v>0.43061055475520077</v>
      </c>
      <c r="K6" s="29">
        <f>H6/I6</f>
        <v>0.27314482352286512</v>
      </c>
      <c r="L6" s="6">
        <v>661</v>
      </c>
      <c r="M6" s="7">
        <v>0.70199999999999996</v>
      </c>
      <c r="N6" s="10">
        <v>17.100000000000001</v>
      </c>
      <c r="O6" s="6">
        <v>85</v>
      </c>
      <c r="P6" s="10">
        <v>3.94</v>
      </c>
      <c r="Q6" s="6">
        <v>102</v>
      </c>
      <c r="R6" s="10">
        <v>4.0599999999999996</v>
      </c>
      <c r="S6" s="6">
        <v>102</v>
      </c>
      <c r="T6" s="5">
        <f t="shared" si="0"/>
        <v>0.52469135802469136</v>
      </c>
    </row>
    <row r="7" spans="1:24" x14ac:dyDescent="0.2">
      <c r="A7" s="26">
        <v>2014</v>
      </c>
      <c r="B7" s="2" t="s">
        <v>9</v>
      </c>
      <c r="C7" s="4">
        <v>5566270</v>
      </c>
      <c r="D7" s="4">
        <v>16589754</v>
      </c>
      <c r="E7" s="4">
        <v>30730189</v>
      </c>
      <c r="F7" s="4">
        <v>23000000</v>
      </c>
      <c r="G7" s="4">
        <f>SUM(B7:F7)</f>
        <v>75886213</v>
      </c>
      <c r="H7" s="4">
        <v>56565759</v>
      </c>
      <c r="I7" s="4">
        <v>165403251</v>
      </c>
      <c r="J7" s="27">
        <f>G7/I7</f>
        <v>0.45879517204894599</v>
      </c>
      <c r="K7" s="29">
        <f>H7/I7</f>
        <v>0.34198698428243107</v>
      </c>
      <c r="L7" s="6">
        <v>773</v>
      </c>
      <c r="M7" s="7">
        <v>0.72799999999999998</v>
      </c>
      <c r="N7" s="10">
        <v>30.4</v>
      </c>
      <c r="O7" s="6">
        <v>98</v>
      </c>
      <c r="P7" s="10">
        <v>3.58</v>
      </c>
      <c r="Q7" s="6">
        <v>98</v>
      </c>
      <c r="R7" s="10">
        <v>3.57</v>
      </c>
      <c r="S7" s="6">
        <v>97</v>
      </c>
      <c r="T7" s="5">
        <f t="shared" si="0"/>
        <v>0.60493827160493829</v>
      </c>
      <c r="X7" s="1"/>
    </row>
    <row r="8" spans="1:24" x14ac:dyDescent="0.2">
      <c r="A8" s="26">
        <v>2013</v>
      </c>
      <c r="B8" s="2" t="s">
        <v>9</v>
      </c>
      <c r="C8" s="4">
        <v>5604508</v>
      </c>
      <c r="D8" s="4">
        <v>9359243</v>
      </c>
      <c r="E8" s="4">
        <v>28608468</v>
      </c>
      <c r="F8" s="4">
        <v>16540000</v>
      </c>
      <c r="G8" s="4">
        <f>SUM(B8:F8)</f>
        <v>60112219</v>
      </c>
      <c r="H8" s="4">
        <v>56337011</v>
      </c>
      <c r="I8" s="4">
        <v>141435103</v>
      </c>
      <c r="J8" s="27">
        <f>G8/I8</f>
        <v>0.42501626346607885</v>
      </c>
      <c r="K8" s="29">
        <f>H8/I8</f>
        <v>0.39832410628640047</v>
      </c>
      <c r="L8" s="6">
        <v>733</v>
      </c>
      <c r="M8" s="7">
        <v>0.74299999999999999</v>
      </c>
      <c r="N8" s="10">
        <v>21.6</v>
      </c>
      <c r="O8" s="6">
        <v>78</v>
      </c>
      <c r="P8" s="10">
        <v>4.24</v>
      </c>
      <c r="Q8" s="6">
        <v>112</v>
      </c>
      <c r="R8" s="10">
        <v>4.08</v>
      </c>
      <c r="S8" s="6">
        <v>107</v>
      </c>
      <c r="T8" s="5">
        <f t="shared" si="0"/>
        <v>0.48148148148148145</v>
      </c>
    </row>
    <row r="9" spans="1:24" x14ac:dyDescent="0.2">
      <c r="A9" s="26">
        <v>2012</v>
      </c>
      <c r="B9" s="2" t="s">
        <v>9</v>
      </c>
      <c r="C9" s="4">
        <v>4600834</v>
      </c>
      <c r="D9" s="4">
        <v>12672667</v>
      </c>
      <c r="E9" s="4">
        <v>58078689</v>
      </c>
      <c r="F9" s="4">
        <v>15475000</v>
      </c>
      <c r="G9" s="4">
        <f>SUM(B9:F9)</f>
        <v>90827190</v>
      </c>
      <c r="H9" s="4">
        <v>63017500</v>
      </c>
      <c r="I9" s="4">
        <v>157168625</v>
      </c>
      <c r="J9" s="27">
        <f>G9/I9</f>
        <v>0.57789644720757716</v>
      </c>
      <c r="K9" s="29">
        <f>H9/I9</f>
        <v>0.40095470708609943</v>
      </c>
      <c r="L9" s="6">
        <v>767</v>
      </c>
      <c r="M9" s="7">
        <v>0.76400000000000001</v>
      </c>
      <c r="N9" s="10">
        <v>33.799999999999997</v>
      </c>
      <c r="O9" s="6">
        <v>89</v>
      </c>
      <c r="P9" s="10">
        <v>4.0199999999999996</v>
      </c>
      <c r="Q9" s="6">
        <v>104</v>
      </c>
      <c r="R9" s="10">
        <v>4.26</v>
      </c>
      <c r="S9" s="6">
        <v>107</v>
      </c>
      <c r="T9" s="5">
        <f t="shared" si="0"/>
        <v>0.54938271604938271</v>
      </c>
    </row>
    <row r="10" spans="1:24" x14ac:dyDescent="0.2">
      <c r="A10" s="26">
        <v>2011</v>
      </c>
      <c r="B10" s="2" t="s">
        <v>9</v>
      </c>
      <c r="C10" s="4">
        <v>5674000</v>
      </c>
      <c r="D10" s="4">
        <v>2699000</v>
      </c>
      <c r="E10" s="4">
        <v>6851000</v>
      </c>
      <c r="F10" s="4">
        <v>3500000</v>
      </c>
      <c r="G10" s="4">
        <f>SUM(B10:F10)</f>
        <v>18724000</v>
      </c>
      <c r="H10" s="4">
        <v>20079600</v>
      </c>
      <c r="I10" s="4">
        <v>52603273</v>
      </c>
      <c r="J10" s="27">
        <f>G10/I10</f>
        <v>0.35594743315686839</v>
      </c>
      <c r="K10" s="29">
        <f>H10/I10</f>
        <v>0.38171769273748424</v>
      </c>
      <c r="L10" s="6">
        <v>667</v>
      </c>
      <c r="M10" s="7">
        <v>0.71399999999999997</v>
      </c>
      <c r="N10" s="10">
        <v>23.8</v>
      </c>
      <c r="O10" s="6">
        <v>86</v>
      </c>
      <c r="P10" s="10">
        <v>3.57</v>
      </c>
      <c r="Q10" s="6">
        <v>91</v>
      </c>
      <c r="R10" s="10">
        <v>3.89</v>
      </c>
      <c r="S10" s="6">
        <v>98</v>
      </c>
      <c r="T10" s="5">
        <f t="shared" si="0"/>
        <v>0.53086419753086422</v>
      </c>
    </row>
    <row r="11" spans="1:24" x14ac:dyDescent="0.2">
      <c r="A11" s="26">
        <v>2019</v>
      </c>
      <c r="B11" s="3" t="s">
        <v>16</v>
      </c>
      <c r="C11" s="4">
        <v>6735492</v>
      </c>
      <c r="D11" s="4">
        <v>29780094</v>
      </c>
      <c r="E11" s="4">
        <v>43296052</v>
      </c>
      <c r="F11" s="4">
        <v>0</v>
      </c>
      <c r="G11" s="4">
        <f>SUM(B11:F11)</f>
        <v>79811638</v>
      </c>
      <c r="H11" s="4">
        <v>75225243</v>
      </c>
      <c r="I11" s="4">
        <v>168804925</v>
      </c>
      <c r="J11" s="27">
        <f>G11/I11</f>
        <v>0.47280396587955004</v>
      </c>
      <c r="K11" s="28">
        <f>H11/I11</f>
        <v>0.44563417210724154</v>
      </c>
      <c r="L11" s="6">
        <v>920</v>
      </c>
      <c r="M11" s="7">
        <v>0.84799999999999998</v>
      </c>
      <c r="N11" s="10">
        <v>40.799999999999997</v>
      </c>
      <c r="O11" s="6">
        <v>107</v>
      </c>
      <c r="P11" s="10">
        <v>3.66</v>
      </c>
      <c r="Q11" s="6">
        <v>82</v>
      </c>
      <c r="R11" s="10">
        <v>3.98</v>
      </c>
      <c r="S11" s="6">
        <v>88</v>
      </c>
      <c r="T11" s="5">
        <f t="shared" si="0"/>
        <v>0.66049382716049387</v>
      </c>
    </row>
    <row r="12" spans="1:24" x14ac:dyDescent="0.2">
      <c r="A12" s="26">
        <v>2018</v>
      </c>
      <c r="B12" s="3" t="s">
        <v>16</v>
      </c>
      <c r="C12" s="4">
        <v>20140988</v>
      </c>
      <c r="D12" s="4">
        <v>23232682</v>
      </c>
      <c r="E12" s="4">
        <v>32622720</v>
      </c>
      <c r="F12" s="4">
        <v>278350</v>
      </c>
      <c r="G12" s="4">
        <f>SUM(B12:F12)</f>
        <v>76274740</v>
      </c>
      <c r="H12" s="4">
        <v>82245770</v>
      </c>
      <c r="I12" s="4">
        <v>163524216</v>
      </c>
      <c r="J12" s="27">
        <f>G12/I12</f>
        <v>0.46644308632551401</v>
      </c>
      <c r="K12" s="28">
        <f>H12/I12</f>
        <v>0.50295773929899168</v>
      </c>
      <c r="L12" s="6">
        <v>797</v>
      </c>
      <c r="M12" s="7">
        <v>0.754</v>
      </c>
      <c r="N12" s="10">
        <v>25.9</v>
      </c>
      <c r="O12" s="6">
        <v>103</v>
      </c>
      <c r="P12" s="10">
        <v>3.11</v>
      </c>
      <c r="Q12" s="6">
        <v>75</v>
      </c>
      <c r="R12" s="10">
        <v>3.23</v>
      </c>
      <c r="S12" s="6">
        <v>78</v>
      </c>
      <c r="T12" s="5">
        <f t="shared" si="0"/>
        <v>0.63580246913580252</v>
      </c>
    </row>
    <row r="13" spans="1:24" x14ac:dyDescent="0.2">
      <c r="A13" s="26">
        <v>2017</v>
      </c>
      <c r="B13" s="3" t="s">
        <v>16</v>
      </c>
      <c r="C13" s="4">
        <v>17012761</v>
      </c>
      <c r="D13" s="4">
        <v>21071044</v>
      </c>
      <c r="E13" s="4">
        <v>23617367</v>
      </c>
      <c r="F13" s="4">
        <v>16000000</v>
      </c>
      <c r="G13" s="4">
        <f>SUM(B13:F13)</f>
        <v>77701172</v>
      </c>
      <c r="H13" s="4">
        <v>54835210</v>
      </c>
      <c r="I13" s="4">
        <v>138709677</v>
      </c>
      <c r="J13" s="27">
        <f>G13/I13</f>
        <v>0.56017124169354093</v>
      </c>
      <c r="K13" s="28">
        <f>H13/I13</f>
        <v>0.39532360817190859</v>
      </c>
      <c r="L13" s="6">
        <v>896</v>
      </c>
      <c r="M13" s="7">
        <v>0.82299999999999995</v>
      </c>
      <c r="N13" s="10">
        <v>33.700000000000003</v>
      </c>
      <c r="O13" s="6">
        <v>101</v>
      </c>
      <c r="P13" s="10">
        <v>4.12</v>
      </c>
      <c r="Q13" s="6">
        <v>97</v>
      </c>
      <c r="R13" s="10">
        <v>3.91</v>
      </c>
      <c r="S13" s="6">
        <v>90</v>
      </c>
      <c r="T13" s="5">
        <f t="shared" si="0"/>
        <v>0.62345679012345678</v>
      </c>
    </row>
    <row r="14" spans="1:24" x14ac:dyDescent="0.2">
      <c r="A14" s="26">
        <v>2016</v>
      </c>
      <c r="B14" s="3" t="s">
        <v>16</v>
      </c>
      <c r="C14" s="4">
        <f>5000000+850000+508200</f>
        <v>6358200</v>
      </c>
      <c r="D14" s="4">
        <f>2000000+507500+3687500+6125000+1900000+516700+510200</f>
        <v>15246900</v>
      </c>
      <c r="E14" s="4">
        <f>9000000+519500+15800000+522400</f>
        <v>25841900</v>
      </c>
      <c r="F14" s="4">
        <f>3300000+515000</f>
        <v>3815000</v>
      </c>
      <c r="G14" s="4">
        <f>SUM(B14:F14)</f>
        <v>51262000</v>
      </c>
      <c r="H14" s="4">
        <f>15819800+29711900</f>
        <v>45531700</v>
      </c>
      <c r="I14" s="4">
        <v>98793700</v>
      </c>
      <c r="J14" s="27">
        <f>G14/I14</f>
        <v>0.51887924027544263</v>
      </c>
      <c r="K14" s="29">
        <f>H14/I14</f>
        <v>0.46087655386932569</v>
      </c>
      <c r="L14" s="6">
        <v>724</v>
      </c>
      <c r="M14" s="7">
        <v>0.73499999999999999</v>
      </c>
      <c r="N14" s="10">
        <v>23.7</v>
      </c>
      <c r="O14" s="6">
        <v>84</v>
      </c>
      <c r="P14" s="10">
        <v>4.0599999999999996</v>
      </c>
      <c r="Q14" s="6">
        <v>101</v>
      </c>
      <c r="R14" s="10">
        <v>3.85</v>
      </c>
      <c r="S14" s="6">
        <v>92</v>
      </c>
      <c r="T14" s="5">
        <f t="shared" si="0"/>
        <v>0.51851851851851849</v>
      </c>
    </row>
    <row r="15" spans="1:24" x14ac:dyDescent="0.2">
      <c r="A15" s="26">
        <v>2015</v>
      </c>
      <c r="B15" s="3" t="s">
        <v>16</v>
      </c>
      <c r="C15" s="4">
        <v>5701336</v>
      </c>
      <c r="D15" s="4">
        <v>19825258</v>
      </c>
      <c r="E15" s="4">
        <v>13401039</v>
      </c>
      <c r="F15" s="4">
        <v>0</v>
      </c>
      <c r="G15" s="4">
        <f>SUM(B15:F15)</f>
        <v>38927633</v>
      </c>
      <c r="H15" s="4">
        <v>25890765</v>
      </c>
      <c r="I15" s="4">
        <v>81450835</v>
      </c>
      <c r="J15" s="27">
        <f>G15/I15</f>
        <v>0.47792797949830718</v>
      </c>
      <c r="K15" s="29">
        <f>H15/I15</f>
        <v>0.3178698536362457</v>
      </c>
      <c r="L15" s="6">
        <v>729</v>
      </c>
      <c r="M15" s="7">
        <v>0.752</v>
      </c>
      <c r="N15" s="10">
        <v>26.1</v>
      </c>
      <c r="O15" s="6">
        <v>86</v>
      </c>
      <c r="P15" s="10">
        <v>3.57</v>
      </c>
      <c r="Q15" s="6">
        <v>92</v>
      </c>
      <c r="R15" s="10">
        <v>3.66</v>
      </c>
      <c r="S15" s="6">
        <v>91</v>
      </c>
      <c r="T15" s="5">
        <f t="shared" si="0"/>
        <v>0.53086419753086422</v>
      </c>
    </row>
    <row r="16" spans="1:24" x14ac:dyDescent="0.2">
      <c r="A16" s="26">
        <v>2014</v>
      </c>
      <c r="B16" s="3" t="s">
        <v>16</v>
      </c>
      <c r="C16" s="4">
        <v>3029070</v>
      </c>
      <c r="D16" s="4">
        <v>5615713</v>
      </c>
      <c r="E16" s="4">
        <v>10577938</v>
      </c>
      <c r="F16" s="4">
        <v>0</v>
      </c>
      <c r="G16" s="4">
        <f>SUM(B16:F16)</f>
        <v>19222721</v>
      </c>
      <c r="H16" s="4">
        <v>22414743</v>
      </c>
      <c r="I16" s="4">
        <v>51679490</v>
      </c>
      <c r="J16" s="27">
        <f>G16/I16</f>
        <v>0.37196034635790715</v>
      </c>
      <c r="K16" s="29">
        <f>H16/I16</f>
        <v>0.43372608746719443</v>
      </c>
      <c r="L16" s="6">
        <v>629</v>
      </c>
      <c r="M16" s="7">
        <v>0.69199999999999995</v>
      </c>
      <c r="N16" s="10">
        <v>13.7</v>
      </c>
      <c r="O16" s="6">
        <v>70</v>
      </c>
      <c r="P16" s="10">
        <v>4.1399999999999997</v>
      </c>
      <c r="Q16" s="6">
        <v>111</v>
      </c>
      <c r="R16" s="10">
        <v>3.93</v>
      </c>
      <c r="S16" s="6">
        <v>104</v>
      </c>
      <c r="T16" s="5">
        <f t="shared" si="0"/>
        <v>0.43209876543209874</v>
      </c>
      <c r="X16" s="24"/>
    </row>
    <row r="17" spans="1:20" x14ac:dyDescent="0.2">
      <c r="A17" s="26">
        <v>2013</v>
      </c>
      <c r="B17" s="3" t="s">
        <v>16</v>
      </c>
      <c r="C17" s="4">
        <v>1101381</v>
      </c>
      <c r="D17" s="4">
        <v>2663931</v>
      </c>
      <c r="E17" s="4">
        <v>2231785</v>
      </c>
      <c r="F17" s="4">
        <v>497800</v>
      </c>
      <c r="G17" s="4">
        <f>SUM(B17:F17)</f>
        <v>6494897</v>
      </c>
      <c r="H17" s="4">
        <v>5180169</v>
      </c>
      <c r="I17" s="4">
        <v>35567913</v>
      </c>
      <c r="J17" s="27">
        <f>G17/I17</f>
        <v>0.18260551300831174</v>
      </c>
      <c r="K17" s="29">
        <f>H17/I17</f>
        <v>0.14564163491965357</v>
      </c>
      <c r="L17" s="6">
        <v>610</v>
      </c>
      <c r="M17" s="7">
        <v>0.67400000000000004</v>
      </c>
      <c r="N17" s="10">
        <v>1.9</v>
      </c>
      <c r="O17" s="6">
        <v>51</v>
      </c>
      <c r="P17" s="10">
        <v>4.79</v>
      </c>
      <c r="Q17" s="6">
        <v>120</v>
      </c>
      <c r="R17" s="10">
        <v>4.67</v>
      </c>
      <c r="S17" s="6">
        <v>116</v>
      </c>
      <c r="T17" s="5">
        <f t="shared" si="0"/>
        <v>0.31481481481481483</v>
      </c>
    </row>
    <row r="18" spans="1:20" x14ac:dyDescent="0.2">
      <c r="A18" s="26">
        <v>2012</v>
      </c>
      <c r="B18" s="3" t="s">
        <v>16</v>
      </c>
      <c r="C18" s="4">
        <v>1716000</v>
      </c>
      <c r="D18" s="4">
        <v>4538000</v>
      </c>
      <c r="E18" s="4">
        <v>3952000</v>
      </c>
      <c r="F18" s="4">
        <v>483000</v>
      </c>
      <c r="G18" s="4">
        <f>SUM(B18:F18)</f>
        <v>10689000</v>
      </c>
      <c r="H18" s="4">
        <v>13039500</v>
      </c>
      <c r="I18" s="4">
        <v>54547239</v>
      </c>
      <c r="J18" s="27">
        <f>G18/I18</f>
        <v>0.19595858921475384</v>
      </c>
      <c r="K18" s="29">
        <f>H18/I18</f>
        <v>0.23904967948973549</v>
      </c>
      <c r="L18" s="6">
        <v>583</v>
      </c>
      <c r="M18" s="7">
        <v>0.67300000000000004</v>
      </c>
      <c r="N18" s="10">
        <v>5.8</v>
      </c>
      <c r="O18" s="6">
        <v>55</v>
      </c>
      <c r="P18" s="10">
        <v>4.57</v>
      </c>
      <c r="Q18" s="6">
        <v>116</v>
      </c>
      <c r="R18" s="10">
        <v>4.2699999999999996</v>
      </c>
      <c r="S18" s="6">
        <v>108</v>
      </c>
      <c r="T18" s="5">
        <f t="shared" si="0"/>
        <v>0.33950617283950618</v>
      </c>
    </row>
    <row r="19" spans="1:20" x14ac:dyDescent="0.2">
      <c r="A19" s="26">
        <v>2011</v>
      </c>
      <c r="B19" s="3" t="s">
        <v>16</v>
      </c>
      <c r="C19" s="4">
        <v>5832000</v>
      </c>
      <c r="D19" s="4">
        <v>5784000</v>
      </c>
      <c r="E19" s="4">
        <v>2783393</v>
      </c>
      <c r="F19" s="4">
        <v>11414000</v>
      </c>
      <c r="G19" s="4">
        <f>SUM(B19:F19)</f>
        <v>25813393</v>
      </c>
      <c r="H19" s="4">
        <v>37474000</v>
      </c>
      <c r="I19" s="4">
        <v>65287393</v>
      </c>
      <c r="J19" s="27">
        <f>G19/I19</f>
        <v>0.39538097347523127</v>
      </c>
      <c r="K19" s="29">
        <f>H19/I19</f>
        <v>0.57398524091779868</v>
      </c>
      <c r="L19" s="6">
        <v>615</v>
      </c>
      <c r="M19" s="7">
        <v>0.68400000000000005</v>
      </c>
      <c r="N19" s="10">
        <v>13.3</v>
      </c>
      <c r="O19" s="6">
        <v>56</v>
      </c>
      <c r="P19" s="10">
        <v>4.51</v>
      </c>
      <c r="Q19" s="6">
        <v>119</v>
      </c>
      <c r="R19" s="10">
        <v>4.3499999999999996</v>
      </c>
      <c r="S19" s="6">
        <v>112</v>
      </c>
      <c r="T19" s="5">
        <f t="shared" si="0"/>
        <v>0.34567901234567899</v>
      </c>
    </row>
    <row r="20" spans="1:20" x14ac:dyDescent="0.2">
      <c r="A20" s="26">
        <v>2019</v>
      </c>
      <c r="B20" s="3" t="s">
        <v>16</v>
      </c>
      <c r="C20" s="4">
        <v>1161536</v>
      </c>
      <c r="D20" s="4">
        <v>11043739</v>
      </c>
      <c r="E20" s="4">
        <v>10550593</v>
      </c>
      <c r="F20" s="4">
        <v>18500000</v>
      </c>
      <c r="G20" s="4">
        <f>SUM(B20:F20)</f>
        <v>41255868</v>
      </c>
      <c r="H20" s="4">
        <v>37003260</v>
      </c>
      <c r="I20" s="4">
        <v>93394531</v>
      </c>
      <c r="J20" s="27">
        <f>G20/I20</f>
        <v>0.44173751458744409</v>
      </c>
      <c r="K20" s="28">
        <f>H20/I20</f>
        <v>0.39620371347011746</v>
      </c>
      <c r="L20" s="6">
        <v>845</v>
      </c>
      <c r="M20" s="7">
        <v>0.77600000000000002</v>
      </c>
      <c r="N20" s="10">
        <v>28.5</v>
      </c>
      <c r="O20" s="6">
        <v>97</v>
      </c>
      <c r="P20" s="10">
        <v>3.97</v>
      </c>
      <c r="Q20" s="6">
        <v>89</v>
      </c>
      <c r="R20" s="10">
        <v>4.34</v>
      </c>
      <c r="S20" s="6">
        <v>97</v>
      </c>
      <c r="T20" s="5">
        <f t="shared" si="0"/>
        <v>0.59876543209876543</v>
      </c>
    </row>
    <row r="21" spans="1:20" x14ac:dyDescent="0.2">
      <c r="A21" s="26">
        <v>2018</v>
      </c>
      <c r="B21" s="3" t="s">
        <v>28</v>
      </c>
      <c r="C21" s="4">
        <v>7492900</v>
      </c>
      <c r="D21" s="4">
        <v>10483700</v>
      </c>
      <c r="E21" s="4">
        <v>9156111</v>
      </c>
      <c r="F21" s="4">
        <v>10500000</v>
      </c>
      <c r="G21" s="4">
        <f>SUM(B21:F21)</f>
        <v>37632711</v>
      </c>
      <c r="H21" s="4">
        <v>23892946</v>
      </c>
      <c r="I21" s="4">
        <v>80315288</v>
      </c>
      <c r="J21" s="27">
        <f>G21/I21</f>
        <v>0.46856223686827841</v>
      </c>
      <c r="K21" s="28">
        <f>H21/I21</f>
        <v>0.29748938956677839</v>
      </c>
      <c r="L21" s="6">
        <v>813</v>
      </c>
      <c r="M21" s="7">
        <v>0.76400000000000001</v>
      </c>
      <c r="N21" s="10">
        <v>31.7</v>
      </c>
      <c r="O21" s="6">
        <v>97</v>
      </c>
      <c r="P21" s="10">
        <v>3.82</v>
      </c>
      <c r="Q21" s="6">
        <v>93</v>
      </c>
      <c r="R21" s="10">
        <v>4.18</v>
      </c>
      <c r="S21" s="6">
        <v>101</v>
      </c>
      <c r="T21" s="5">
        <f t="shared" si="0"/>
        <v>0.59876543209876543</v>
      </c>
    </row>
    <row r="22" spans="1:20" x14ac:dyDescent="0.2">
      <c r="A22" s="26">
        <v>2017</v>
      </c>
      <c r="B22" s="3" t="s">
        <v>28</v>
      </c>
      <c r="C22" s="4">
        <v>1088678</v>
      </c>
      <c r="D22" s="4">
        <v>8921234</v>
      </c>
      <c r="E22" s="4">
        <v>11005168</v>
      </c>
      <c r="F22" s="4">
        <v>0</v>
      </c>
      <c r="G22" s="4">
        <f>SUM(B22:F22)</f>
        <v>21015080</v>
      </c>
      <c r="H22" s="4">
        <v>10708737</v>
      </c>
      <c r="I22" s="4">
        <v>73477080</v>
      </c>
      <c r="J22" s="27">
        <f>G22/I22</f>
        <v>0.28600864378388474</v>
      </c>
      <c r="K22" s="28">
        <f>H22/I22</f>
        <v>0.14574254992168986</v>
      </c>
      <c r="L22" s="6">
        <v>739</v>
      </c>
      <c r="M22" s="7">
        <v>0.755</v>
      </c>
      <c r="N22" s="10">
        <v>17.5</v>
      </c>
      <c r="O22" s="6">
        <v>75</v>
      </c>
      <c r="P22" s="10">
        <v>4.67</v>
      </c>
      <c r="Q22" s="6">
        <v>111</v>
      </c>
      <c r="R22" s="10">
        <v>4.57</v>
      </c>
      <c r="S22" s="6">
        <v>107</v>
      </c>
      <c r="T22" s="5">
        <f t="shared" si="0"/>
        <v>0.46296296296296297</v>
      </c>
    </row>
    <row r="23" spans="1:20" x14ac:dyDescent="0.2">
      <c r="A23" s="26">
        <v>2016</v>
      </c>
      <c r="B23" s="3" t="s">
        <v>28</v>
      </c>
      <c r="C23" s="4">
        <f>527500+512500</f>
        <v>1040000</v>
      </c>
      <c r="D23" s="4">
        <f>2650000+7500000+4800000+3150000+512500+512500</f>
        <v>19125000</v>
      </c>
      <c r="E23" s="4">
        <f>512500+11000000+524500+512500+6575000</f>
        <v>19124500</v>
      </c>
      <c r="F23" s="4">
        <f>11666667</f>
        <v>11666667</v>
      </c>
      <c r="G23" s="4">
        <f>SUM(B23:F23)</f>
        <v>50956167</v>
      </c>
      <c r="H23" s="4">
        <f>7550000+17777567</f>
        <v>25327567</v>
      </c>
      <c r="I23" s="4">
        <v>86806234</v>
      </c>
      <c r="J23" s="27">
        <f>G23/I23</f>
        <v>0.5870104559541196</v>
      </c>
      <c r="K23" s="29">
        <f>H23/I23</f>
        <v>0.29177129144895286</v>
      </c>
      <c r="L23" s="6">
        <v>653</v>
      </c>
      <c r="M23" s="7">
        <v>0.69899999999999995</v>
      </c>
      <c r="N23" s="10">
        <v>3</v>
      </c>
      <c r="O23" s="6">
        <v>69</v>
      </c>
      <c r="P23" s="10">
        <v>4.51</v>
      </c>
      <c r="Q23" s="6">
        <v>110</v>
      </c>
      <c r="R23" s="10">
        <v>4.24</v>
      </c>
      <c r="S23" s="6">
        <v>102</v>
      </c>
      <c r="T23" s="5">
        <f t="shared" si="0"/>
        <v>0.42592592592592593</v>
      </c>
    </row>
    <row r="24" spans="1:20" x14ac:dyDescent="0.2">
      <c r="A24" s="26">
        <v>2015</v>
      </c>
      <c r="B24" s="3" t="s">
        <v>28</v>
      </c>
      <c r="C24" s="4">
        <v>1152841</v>
      </c>
      <c r="D24" s="4">
        <v>4291023</v>
      </c>
      <c r="E24" s="4">
        <v>19851203</v>
      </c>
      <c r="F24" s="4">
        <v>6666666</v>
      </c>
      <c r="G24" s="4">
        <f>SUM(B24:F24)</f>
        <v>31961733</v>
      </c>
      <c r="H24" s="4">
        <v>9935717</v>
      </c>
      <c r="I24" s="4">
        <v>80376830</v>
      </c>
      <c r="J24" s="27">
        <f>G24/I24</f>
        <v>0.39764858852980395</v>
      </c>
      <c r="K24" s="29">
        <f>H24/I24</f>
        <v>0.12361419329426154</v>
      </c>
      <c r="L24" s="6">
        <v>694</v>
      </c>
      <c r="M24" s="7">
        <v>0.70699999999999996</v>
      </c>
      <c r="N24" s="10">
        <v>11.3</v>
      </c>
      <c r="O24" s="6">
        <v>68</v>
      </c>
      <c r="P24" s="10">
        <v>4.16</v>
      </c>
      <c r="Q24" s="6">
        <v>106</v>
      </c>
      <c r="R24" s="10">
        <v>4.13</v>
      </c>
      <c r="S24" s="6">
        <v>104</v>
      </c>
      <c r="T24" s="5">
        <f t="shared" si="0"/>
        <v>0.41975308641975306</v>
      </c>
    </row>
    <row r="25" spans="1:20" x14ac:dyDescent="0.2">
      <c r="A25" s="26">
        <v>2014</v>
      </c>
      <c r="B25" s="3" t="s">
        <v>28</v>
      </c>
      <c r="C25" s="4">
        <v>1434508</v>
      </c>
      <c r="D25" s="4">
        <v>14100846</v>
      </c>
      <c r="E25" s="4">
        <v>15803469</v>
      </c>
      <c r="F25" s="4">
        <v>5350000</v>
      </c>
      <c r="G25" s="4">
        <f>SUM(B25:F25)</f>
        <v>36688823</v>
      </c>
      <c r="H25" s="4">
        <v>29071759</v>
      </c>
      <c r="I25" s="4">
        <v>93518412</v>
      </c>
      <c r="J25" s="27">
        <f>G25/I25</f>
        <v>0.39231657398117498</v>
      </c>
      <c r="K25" s="29">
        <f>H25/I25</f>
        <v>0.31086668794162159</v>
      </c>
      <c r="L25" s="6">
        <v>729</v>
      </c>
      <c r="M25" s="7">
        <v>0.7</v>
      </c>
      <c r="N25" s="10">
        <v>21.2</v>
      </c>
      <c r="O25" s="6">
        <v>88</v>
      </c>
      <c r="P25" s="10">
        <v>3.22</v>
      </c>
      <c r="Q25" s="6">
        <v>88</v>
      </c>
      <c r="R25" s="10">
        <v>3.67</v>
      </c>
      <c r="S25" s="6">
        <v>99</v>
      </c>
      <c r="T25" s="5">
        <f t="shared" si="0"/>
        <v>0.54320987654320985</v>
      </c>
    </row>
    <row r="26" spans="1:20" x14ac:dyDescent="0.2">
      <c r="A26" s="26">
        <v>2013</v>
      </c>
      <c r="B26" s="3" t="s">
        <v>28</v>
      </c>
      <c r="C26" s="4">
        <v>2070587</v>
      </c>
      <c r="D26" s="4">
        <v>7067642</v>
      </c>
      <c r="E26" s="4">
        <v>30265327</v>
      </c>
      <c r="F26" s="4">
        <v>1600000</v>
      </c>
      <c r="G26" s="4">
        <f>SUM(B26:F26)</f>
        <v>41003556</v>
      </c>
      <c r="H26" s="4">
        <v>21187016</v>
      </c>
      <c r="I26" s="4">
        <v>67055517</v>
      </c>
      <c r="J26" s="27">
        <f>G26/I26</f>
        <v>0.61148668796334837</v>
      </c>
      <c r="K26" s="29">
        <f>H26/I26</f>
        <v>0.31596230926084723</v>
      </c>
      <c r="L26" s="6">
        <v>767</v>
      </c>
      <c r="M26" s="7">
        <v>0.745</v>
      </c>
      <c r="N26" s="10">
        <v>25.4</v>
      </c>
      <c r="O26" s="6">
        <v>96</v>
      </c>
      <c r="P26" s="10">
        <v>3.56</v>
      </c>
      <c r="Q26" s="6">
        <v>92</v>
      </c>
      <c r="R26" s="10">
        <v>3.83</v>
      </c>
      <c r="S26" s="6">
        <v>98</v>
      </c>
      <c r="T26" s="5">
        <f t="shared" si="0"/>
        <v>0.59259259259259256</v>
      </c>
    </row>
    <row r="27" spans="1:20" x14ac:dyDescent="0.2">
      <c r="A27" s="26">
        <v>2012</v>
      </c>
      <c r="B27" s="3" t="s">
        <v>28</v>
      </c>
      <c r="C27" s="4">
        <v>1216284</v>
      </c>
      <c r="D27" s="4">
        <v>8319953</v>
      </c>
      <c r="E27" s="4">
        <v>17362500</v>
      </c>
      <c r="F27" s="4">
        <v>480000</v>
      </c>
      <c r="G27" s="4">
        <f>SUM(B27:F27)</f>
        <v>27378737</v>
      </c>
      <c r="H27" s="4">
        <v>29345000</v>
      </c>
      <c r="I27" s="4">
        <v>58973573</v>
      </c>
      <c r="J27" s="27">
        <f>G27/I27</f>
        <v>0.46425433642964115</v>
      </c>
      <c r="K27" s="29">
        <f>H27/I27</f>
        <v>0.49759576208821532</v>
      </c>
      <c r="L27" s="6">
        <v>713</v>
      </c>
      <c r="M27" s="7">
        <v>0.71399999999999997</v>
      </c>
      <c r="N27" s="10">
        <v>19.399999999999999</v>
      </c>
      <c r="O27" s="6">
        <v>94</v>
      </c>
      <c r="P27" s="10">
        <v>3.5</v>
      </c>
      <c r="Q27" s="6">
        <v>88</v>
      </c>
      <c r="R27" s="10">
        <v>3.89</v>
      </c>
      <c r="S27" s="6">
        <v>96</v>
      </c>
      <c r="T27" s="5">
        <f t="shared" si="0"/>
        <v>0.58024691358024694</v>
      </c>
    </row>
    <row r="28" spans="1:20" x14ac:dyDescent="0.2">
      <c r="A28" s="26">
        <v>2011</v>
      </c>
      <c r="B28" s="3" t="s">
        <v>28</v>
      </c>
      <c r="C28" s="4">
        <v>4271500</v>
      </c>
      <c r="D28" s="4">
        <v>14957426</v>
      </c>
      <c r="E28" s="4">
        <v>19711049</v>
      </c>
      <c r="F28" s="4">
        <v>4250000</v>
      </c>
      <c r="G28" s="4">
        <f>SUM(B28:F28)</f>
        <v>43189975</v>
      </c>
      <c r="H28" s="4">
        <v>26777500</v>
      </c>
      <c r="I28" s="4">
        <v>76483048</v>
      </c>
      <c r="J28" s="27">
        <f>G28/I28</f>
        <v>0.56469997116223714</v>
      </c>
      <c r="K28" s="29">
        <f>H28/I28</f>
        <v>0.35011026234205522</v>
      </c>
      <c r="L28" s="6">
        <v>645</v>
      </c>
      <c r="M28" s="7">
        <v>0.68</v>
      </c>
      <c r="N28" s="10">
        <v>7.5</v>
      </c>
      <c r="O28" s="6">
        <v>74</v>
      </c>
      <c r="P28" s="10">
        <v>3.71</v>
      </c>
      <c r="Q28" s="6">
        <v>94</v>
      </c>
      <c r="R28" s="10">
        <v>3.8</v>
      </c>
      <c r="S28" s="6">
        <v>96</v>
      </c>
      <c r="T28" s="5">
        <f t="shared" si="0"/>
        <v>0.4567901234567901</v>
      </c>
    </row>
    <row r="29" spans="1:20" x14ac:dyDescent="0.2">
      <c r="A29" s="26">
        <v>2019</v>
      </c>
      <c r="B29" s="3" t="s">
        <v>6</v>
      </c>
      <c r="C29" s="4">
        <v>1331660</v>
      </c>
      <c r="D29" s="4">
        <v>11021064</v>
      </c>
      <c r="E29" s="4">
        <v>9431202</v>
      </c>
      <c r="F29" s="4">
        <v>0</v>
      </c>
      <c r="G29" s="4">
        <f>SUM(B29:F29)</f>
        <v>21783926</v>
      </c>
      <c r="H29" s="4">
        <v>14854050</v>
      </c>
      <c r="I29" s="4">
        <v>111371067</v>
      </c>
      <c r="J29" s="27">
        <f>G29/I29</f>
        <v>0.19559771300386303</v>
      </c>
      <c r="K29" s="28">
        <f>H29/I29</f>
        <v>0.13337440683763943</v>
      </c>
      <c r="L29" s="6">
        <v>726</v>
      </c>
      <c r="M29" s="7">
        <v>0.73299999999999998</v>
      </c>
      <c r="N29" s="10">
        <v>11.5</v>
      </c>
      <c r="O29" s="6">
        <v>67</v>
      </c>
      <c r="P29" s="10">
        <v>4.79</v>
      </c>
      <c r="Q29" s="6">
        <v>104</v>
      </c>
      <c r="R29" s="10">
        <v>4.82</v>
      </c>
      <c r="S29" s="6">
        <v>104</v>
      </c>
      <c r="T29" s="5">
        <f t="shared" si="0"/>
        <v>0.41358024691358025</v>
      </c>
    </row>
    <row r="30" spans="1:20" x14ac:dyDescent="0.2">
      <c r="A30" s="26">
        <v>2018</v>
      </c>
      <c r="B30" s="3" t="s">
        <v>6</v>
      </c>
      <c r="C30" s="4">
        <v>20778150</v>
      </c>
      <c r="D30" s="4">
        <v>13389341</v>
      </c>
      <c r="E30" s="4">
        <v>6826450</v>
      </c>
      <c r="F30" s="4">
        <v>11000000</v>
      </c>
      <c r="G30" s="4">
        <f>SUM(B30:F30)</f>
        <v>51993941</v>
      </c>
      <c r="H30" s="4">
        <v>29299406</v>
      </c>
      <c r="I30" s="4">
        <v>150946147</v>
      </c>
      <c r="J30" s="27">
        <f>G30/I30</f>
        <v>0.34445358184598113</v>
      </c>
      <c r="K30" s="28">
        <f>H30/I30</f>
        <v>0.19410502740424371</v>
      </c>
      <c r="L30" s="6">
        <v>709</v>
      </c>
      <c r="M30" s="7">
        <v>0.73899999999999999</v>
      </c>
      <c r="N30" s="10">
        <v>13.2</v>
      </c>
      <c r="O30" s="6">
        <v>73</v>
      </c>
      <c r="P30" s="10">
        <v>4.8499999999999996</v>
      </c>
      <c r="Q30" s="6">
        <v>114</v>
      </c>
      <c r="R30" s="10">
        <v>4.53</v>
      </c>
      <c r="S30" s="6">
        <v>106</v>
      </c>
      <c r="T30" s="5">
        <f t="shared" si="0"/>
        <v>0.45061728395061729</v>
      </c>
    </row>
    <row r="31" spans="1:20" x14ac:dyDescent="0.2">
      <c r="A31" s="26">
        <v>2017</v>
      </c>
      <c r="B31" s="3" t="s">
        <v>6</v>
      </c>
      <c r="C31" s="4">
        <v>27593141</v>
      </c>
      <c r="D31" s="4">
        <v>24841308</v>
      </c>
      <c r="E31" s="4">
        <v>26151649</v>
      </c>
      <c r="F31" s="4">
        <v>10000000</v>
      </c>
      <c r="G31" s="4">
        <f>SUM(B31:F31)</f>
        <v>88586098</v>
      </c>
      <c r="H31" s="4">
        <v>36835971</v>
      </c>
      <c r="I31" s="4">
        <v>175617487</v>
      </c>
      <c r="J31" s="27">
        <f>G31/I31</f>
        <v>0.50442640714930631</v>
      </c>
      <c r="K31" s="28">
        <f>H31/I31</f>
        <v>0.2097511565007191</v>
      </c>
      <c r="L31" s="6">
        <v>693</v>
      </c>
      <c r="M31" s="7">
        <v>0.72399999999999998</v>
      </c>
      <c r="N31" s="10">
        <v>10.7</v>
      </c>
      <c r="O31" s="6">
        <v>76</v>
      </c>
      <c r="P31" s="10">
        <v>4.42</v>
      </c>
      <c r="Q31" s="6">
        <v>101</v>
      </c>
      <c r="R31" s="10">
        <v>4.3099999999999996</v>
      </c>
      <c r="S31" s="6">
        <v>97</v>
      </c>
      <c r="T31" s="5">
        <f t="shared" si="0"/>
        <v>0.46913580246913578</v>
      </c>
    </row>
    <row r="32" spans="1:20" x14ac:dyDescent="0.2">
      <c r="A32" s="26">
        <v>2016</v>
      </c>
      <c r="B32" s="3" t="s">
        <v>6</v>
      </c>
      <c r="C32" s="4">
        <v>15941195</v>
      </c>
      <c r="D32" s="4">
        <v>37743346</v>
      </c>
      <c r="E32" s="4">
        <v>23167513</v>
      </c>
      <c r="F32" s="4">
        <v>10000000</v>
      </c>
      <c r="G32" s="4">
        <f>SUM(B32:F32)</f>
        <v>86852054</v>
      </c>
      <c r="H32" s="4">
        <v>51380485</v>
      </c>
      <c r="I32" s="4">
        <v>152285479</v>
      </c>
      <c r="J32" s="27">
        <f>G32/I32</f>
        <v>0.57032393745171195</v>
      </c>
      <c r="K32" s="29">
        <f>H32/I32</f>
        <v>0.33739582616409541</v>
      </c>
      <c r="L32" s="6">
        <v>759</v>
      </c>
      <c r="M32" s="7">
        <v>0.755</v>
      </c>
      <c r="N32" s="10">
        <v>25.1</v>
      </c>
      <c r="O32" s="6">
        <v>89</v>
      </c>
      <c r="P32" s="10">
        <v>3.79</v>
      </c>
      <c r="Q32" s="6">
        <v>90</v>
      </c>
      <c r="R32" s="10">
        <v>4.04</v>
      </c>
      <c r="S32" s="6">
        <v>95</v>
      </c>
      <c r="T32" s="5">
        <f t="shared" si="0"/>
        <v>0.54938271604938271</v>
      </c>
    </row>
    <row r="33" spans="1:20" x14ac:dyDescent="0.2">
      <c r="A33" s="26">
        <v>2015</v>
      </c>
      <c r="B33" s="3" t="s">
        <v>6</v>
      </c>
      <c r="C33" s="4">
        <v>13750000</v>
      </c>
      <c r="D33" s="4">
        <v>15342708</v>
      </c>
      <c r="E33" s="4">
        <v>16526029</v>
      </c>
      <c r="F33" s="4">
        <v>10000000</v>
      </c>
      <c r="G33" s="4">
        <f>SUM(B33:F33)</f>
        <v>55618737</v>
      </c>
      <c r="H33" s="4">
        <v>50807367</v>
      </c>
      <c r="I33" s="4">
        <v>138309664</v>
      </c>
      <c r="J33" s="27">
        <f>G33/I33</f>
        <v>0.40213196526889111</v>
      </c>
      <c r="K33" s="29">
        <f>H33/I33</f>
        <v>0.3673450251458929</v>
      </c>
      <c r="L33" s="6">
        <v>891</v>
      </c>
      <c r="M33" s="7">
        <v>0.79700000000000004</v>
      </c>
      <c r="N33" s="10">
        <v>36.700000000000003</v>
      </c>
      <c r="O33" s="6">
        <v>93</v>
      </c>
      <c r="P33" s="10">
        <v>3.81</v>
      </c>
      <c r="Q33" s="6">
        <v>94</v>
      </c>
      <c r="R33" s="10">
        <v>4.09</v>
      </c>
      <c r="S33" s="6">
        <v>100</v>
      </c>
      <c r="T33" s="5">
        <f t="shared" si="0"/>
        <v>0.57407407407407407</v>
      </c>
    </row>
    <row r="34" spans="1:20" x14ac:dyDescent="0.2">
      <c r="A34" s="26">
        <v>2014</v>
      </c>
      <c r="B34" s="3" t="s">
        <v>6</v>
      </c>
      <c r="C34" s="4">
        <v>4323770</v>
      </c>
      <c r="D34" s="4">
        <v>24565732</v>
      </c>
      <c r="E34" s="4">
        <v>29840872</v>
      </c>
      <c r="F34" s="4">
        <v>9000000</v>
      </c>
      <c r="G34" s="4">
        <f>SUM(B34:F34)</f>
        <v>67730374</v>
      </c>
      <c r="H34" s="4">
        <v>54395587</v>
      </c>
      <c r="I34" s="4">
        <v>141812172</v>
      </c>
      <c r="J34" s="27">
        <f>G34/I34</f>
        <v>0.47760620999444253</v>
      </c>
      <c r="K34" s="29">
        <f>H34/I34</f>
        <v>0.38357488100527787</v>
      </c>
      <c r="L34" s="6">
        <v>723</v>
      </c>
      <c r="M34" s="7">
        <v>0.73599999999999999</v>
      </c>
      <c r="N34" s="10">
        <v>22.2</v>
      </c>
      <c r="O34" s="6">
        <v>83</v>
      </c>
      <c r="P34" s="10">
        <v>4</v>
      </c>
      <c r="Q34" s="6">
        <v>103</v>
      </c>
      <c r="R34" s="10">
        <v>3.97</v>
      </c>
      <c r="S34" s="6">
        <v>103</v>
      </c>
      <c r="T34" s="5">
        <f t="shared" si="0"/>
        <v>0.51234567901234573</v>
      </c>
    </row>
    <row r="35" spans="1:20" x14ac:dyDescent="0.2">
      <c r="A35" s="26">
        <v>2013</v>
      </c>
      <c r="B35" s="3" t="s">
        <v>6</v>
      </c>
      <c r="C35" s="4">
        <v>1636447</v>
      </c>
      <c r="D35" s="4">
        <v>20376856</v>
      </c>
      <c r="E35" s="4">
        <v>29407949</v>
      </c>
      <c r="F35" s="4">
        <v>8000000</v>
      </c>
      <c r="G35" s="4">
        <f>SUM(B35:F35)</f>
        <v>59421252</v>
      </c>
      <c r="H35" s="4">
        <v>58868540</v>
      </c>
      <c r="I35" s="4">
        <v>131771168</v>
      </c>
      <c r="J35" s="27">
        <f>G35/I35</f>
        <v>0.45094274340802687</v>
      </c>
      <c r="K35" s="29">
        <f>H35/I35</f>
        <v>0.44674825983177141</v>
      </c>
      <c r="L35" s="6">
        <v>712</v>
      </c>
      <c r="M35" s="7">
        <v>0.72899999999999998</v>
      </c>
      <c r="N35" s="10">
        <v>17</v>
      </c>
      <c r="O35" s="6">
        <v>74</v>
      </c>
      <c r="P35" s="10">
        <v>4.26</v>
      </c>
      <c r="Q35" s="6">
        <v>105</v>
      </c>
      <c r="R35" s="10">
        <v>4.3</v>
      </c>
      <c r="S35" s="6">
        <v>107</v>
      </c>
      <c r="T35" s="5">
        <f t="shared" si="0"/>
        <v>0.4567901234567901</v>
      </c>
    </row>
    <row r="36" spans="1:20" x14ac:dyDescent="0.2">
      <c r="A36" s="26">
        <v>2012</v>
      </c>
      <c r="B36" s="3" t="s">
        <v>6</v>
      </c>
      <c r="C36" s="4">
        <v>1980000</v>
      </c>
      <c r="D36" s="4">
        <v>21957100</v>
      </c>
      <c r="E36" s="4">
        <v>25430000</v>
      </c>
      <c r="F36" s="4">
        <v>3500000</v>
      </c>
      <c r="G36" s="4">
        <f>SUM(B36:F36)</f>
        <v>52867100</v>
      </c>
      <c r="H36" s="4">
        <v>37692853</v>
      </c>
      <c r="I36" s="4">
        <v>97293922</v>
      </c>
      <c r="J36" s="27">
        <f>G36/I36</f>
        <v>0.54337515554157634</v>
      </c>
      <c r="K36" s="29">
        <f>H36/I36</f>
        <v>0.38741220648911656</v>
      </c>
      <c r="L36" s="6">
        <v>716</v>
      </c>
      <c r="M36" s="7">
        <v>0.71599999999999997</v>
      </c>
      <c r="N36" s="10">
        <v>14.3</v>
      </c>
      <c r="O36" s="6">
        <v>73</v>
      </c>
      <c r="P36" s="10">
        <v>4.6399999999999997</v>
      </c>
      <c r="Q36" s="6">
        <v>110</v>
      </c>
      <c r="R36" s="10">
        <v>4.66</v>
      </c>
      <c r="S36" s="6">
        <v>110</v>
      </c>
      <c r="T36" s="5">
        <f t="shared" si="0"/>
        <v>0.45061728395061729</v>
      </c>
    </row>
    <row r="37" spans="1:20" x14ac:dyDescent="0.2">
      <c r="A37" s="26">
        <v>2011</v>
      </c>
      <c r="B37" s="3" t="s">
        <v>6</v>
      </c>
      <c r="C37" s="4">
        <v>1200000</v>
      </c>
      <c r="D37" s="4">
        <v>18038909</v>
      </c>
      <c r="E37" s="4">
        <v>14074230</v>
      </c>
      <c r="F37" s="4">
        <v>2000000</v>
      </c>
      <c r="G37" s="4">
        <f>SUM(B37:F37)</f>
        <v>35313139</v>
      </c>
      <c r="H37" s="4">
        <v>20991322</v>
      </c>
      <c r="I37" s="4">
        <v>73491604</v>
      </c>
      <c r="J37" s="27">
        <f>G37/I37</f>
        <v>0.4805057595422737</v>
      </c>
      <c r="K37" s="29">
        <f>H37/I37</f>
        <v>0.28562884543926947</v>
      </c>
      <c r="L37" s="6">
        <v>743</v>
      </c>
      <c r="M37" s="7">
        <v>0.73</v>
      </c>
      <c r="N37" s="10">
        <v>15.6</v>
      </c>
      <c r="O37" s="6">
        <v>81</v>
      </c>
      <c r="P37" s="10">
        <v>4.33</v>
      </c>
      <c r="Q37" s="6">
        <v>104</v>
      </c>
      <c r="R37" s="10">
        <v>4.29</v>
      </c>
      <c r="S37" s="6">
        <v>104</v>
      </c>
      <c r="T37" s="5">
        <f t="shared" si="0"/>
        <v>0.5</v>
      </c>
    </row>
    <row r="38" spans="1:20" x14ac:dyDescent="0.2">
      <c r="A38" s="26">
        <v>2019</v>
      </c>
      <c r="B38" s="3" t="s">
        <v>20</v>
      </c>
      <c r="C38" s="4">
        <v>6391070</v>
      </c>
      <c r="D38" s="4">
        <v>46648102</v>
      </c>
      <c r="E38" s="4">
        <v>9977890</v>
      </c>
      <c r="F38" s="4">
        <v>0</v>
      </c>
      <c r="G38" s="4">
        <f>SUM(B38:F38)</f>
        <v>63017062</v>
      </c>
      <c r="H38" s="4">
        <v>54741674</v>
      </c>
      <c r="I38" s="4">
        <v>143947963</v>
      </c>
      <c r="J38" s="27">
        <f>G38/I38</f>
        <v>0.43777668462039993</v>
      </c>
      <c r="K38" s="28">
        <f>H38/I38</f>
        <v>0.38028793780152348</v>
      </c>
      <c r="L38" s="11">
        <v>855</v>
      </c>
      <c r="M38" s="12">
        <v>0.78900000000000003</v>
      </c>
      <c r="N38" s="13">
        <v>26.9</v>
      </c>
      <c r="O38" s="11">
        <v>97</v>
      </c>
      <c r="P38" s="13">
        <v>4.2</v>
      </c>
      <c r="Q38" s="11">
        <v>95</v>
      </c>
      <c r="R38" s="13">
        <v>4.3899999999999997</v>
      </c>
      <c r="S38" s="11">
        <v>100</v>
      </c>
      <c r="T38" s="5">
        <f t="shared" si="0"/>
        <v>0.59876543209876543</v>
      </c>
    </row>
    <row r="39" spans="1:20" x14ac:dyDescent="0.2">
      <c r="A39" s="26">
        <v>2018</v>
      </c>
      <c r="B39" s="3" t="s">
        <v>20</v>
      </c>
      <c r="C39" s="4">
        <v>8646782</v>
      </c>
      <c r="D39" s="4">
        <v>24788034</v>
      </c>
      <c r="E39" s="4">
        <v>16603850</v>
      </c>
      <c r="F39" s="4">
        <v>0</v>
      </c>
      <c r="G39" s="4">
        <f>SUM(B39:F39)</f>
        <v>50038666</v>
      </c>
      <c r="H39" s="4">
        <v>23528899</v>
      </c>
      <c r="I39" s="4">
        <v>130649395</v>
      </c>
      <c r="J39" s="27">
        <f>G39/I39</f>
        <v>0.38299959980679588</v>
      </c>
      <c r="K39" s="28">
        <f>H39/I39</f>
        <v>0.18009190934255762</v>
      </c>
      <c r="L39" s="6">
        <v>759</v>
      </c>
      <c r="M39" s="7">
        <v>0.74199999999999999</v>
      </c>
      <c r="N39" s="10">
        <v>26</v>
      </c>
      <c r="O39" s="6">
        <v>90</v>
      </c>
      <c r="P39" s="10">
        <v>3.75</v>
      </c>
      <c r="Q39" s="6">
        <v>92</v>
      </c>
      <c r="R39" s="10">
        <v>3.99</v>
      </c>
      <c r="S39" s="6">
        <v>99</v>
      </c>
      <c r="T39" s="5">
        <f t="shared" si="0"/>
        <v>0.55555555555555558</v>
      </c>
    </row>
    <row r="40" spans="1:20" x14ac:dyDescent="0.2">
      <c r="A40" s="26">
        <v>2017</v>
      </c>
      <c r="B40" s="3" t="s">
        <v>20</v>
      </c>
      <c r="C40" s="4">
        <v>5349073</v>
      </c>
      <c r="D40" s="4">
        <v>24842221</v>
      </c>
      <c r="E40" s="4">
        <v>24352447</v>
      </c>
      <c r="F40" s="4">
        <v>0</v>
      </c>
      <c r="G40" s="4">
        <f>SUM(B40:F40)</f>
        <v>54543741</v>
      </c>
      <c r="H40" s="4">
        <v>26169693</v>
      </c>
      <c r="I40" s="4">
        <v>105218575</v>
      </c>
      <c r="J40" s="27">
        <f>G40/I40</f>
        <v>0.51838509502718511</v>
      </c>
      <c r="K40" s="28">
        <f>H40/I40</f>
        <v>0.24871742465624536</v>
      </c>
      <c r="L40" s="6">
        <v>732</v>
      </c>
      <c r="M40" s="7">
        <v>0.73799999999999999</v>
      </c>
      <c r="N40" s="10">
        <v>15.9</v>
      </c>
      <c r="O40" s="6">
        <v>72</v>
      </c>
      <c r="P40" s="10">
        <v>4.72</v>
      </c>
      <c r="Q40" s="6">
        <v>108</v>
      </c>
      <c r="R40" s="10">
        <v>4.51</v>
      </c>
      <c r="S40" s="6">
        <v>105</v>
      </c>
      <c r="T40" s="5">
        <f t="shared" si="0"/>
        <v>0.44444444444444442</v>
      </c>
    </row>
    <row r="41" spans="1:20" x14ac:dyDescent="0.2">
      <c r="A41" s="26">
        <v>2016</v>
      </c>
      <c r="B41" s="3" t="s">
        <v>20</v>
      </c>
      <c r="C41" s="4">
        <v>5000000</v>
      </c>
      <c r="D41" s="4">
        <f>12359375+2000000+1250000+520500+508750+1250000+6250000</f>
        <v>24138625</v>
      </c>
      <c r="E41" s="4">
        <f>523000+507500+1000000+4000000+11000000</f>
        <v>17030500</v>
      </c>
      <c r="F41" s="4">
        <v>0</v>
      </c>
      <c r="G41" s="4">
        <f>SUM(B41:F41)</f>
        <v>46169125</v>
      </c>
      <c r="H41" s="4">
        <f>7492917+12171500</f>
        <v>19664417</v>
      </c>
      <c r="I41" s="25">
        <v>86580792</v>
      </c>
      <c r="J41" s="27">
        <f>G41/I41</f>
        <v>0.533249049050048</v>
      </c>
      <c r="K41" s="29">
        <f>H41/I41</f>
        <v>0.22712216584944153</v>
      </c>
      <c r="L41" s="6">
        <v>649</v>
      </c>
      <c r="M41" s="7">
        <v>0.70499999999999996</v>
      </c>
      <c r="N41" s="10">
        <v>9.8000000000000007</v>
      </c>
      <c r="O41" s="6">
        <v>68</v>
      </c>
      <c r="P41" s="10">
        <v>4.51</v>
      </c>
      <c r="Q41" s="6">
        <v>109</v>
      </c>
      <c r="R41" s="10">
        <v>4.32</v>
      </c>
      <c r="S41" s="6">
        <v>107</v>
      </c>
      <c r="T41" s="5">
        <f t="shared" si="0"/>
        <v>0.41975308641975306</v>
      </c>
    </row>
    <row r="42" spans="1:20" x14ac:dyDescent="0.2">
      <c r="A42" s="26">
        <v>2015</v>
      </c>
      <c r="B42" s="3" t="s">
        <v>20</v>
      </c>
      <c r="C42" s="4">
        <v>3163688</v>
      </c>
      <c r="D42" s="4">
        <v>12638649</v>
      </c>
      <c r="E42" s="4">
        <v>33513413</v>
      </c>
      <c r="F42" s="4">
        <v>0</v>
      </c>
      <c r="G42" s="4">
        <f>SUM(B42:F42)</f>
        <v>49315750</v>
      </c>
      <c r="H42" s="4">
        <v>5707049</v>
      </c>
      <c r="I42" s="4">
        <v>110838389</v>
      </c>
      <c r="J42" s="27">
        <f>G42/I42</f>
        <v>0.44493383966452271</v>
      </c>
      <c r="K42" s="29">
        <f>H42/I42</f>
        <v>5.1489822718372422E-2</v>
      </c>
      <c r="L42" s="6">
        <v>573</v>
      </c>
      <c r="M42" s="7">
        <v>0.67400000000000004</v>
      </c>
      <c r="N42" s="10">
        <v>9.9</v>
      </c>
      <c r="O42" s="6">
        <v>67</v>
      </c>
      <c r="P42" s="10">
        <v>4.41</v>
      </c>
      <c r="Q42" s="6">
        <v>113</v>
      </c>
      <c r="R42" s="10">
        <v>4.34</v>
      </c>
      <c r="S42" s="6">
        <v>115</v>
      </c>
      <c r="T42" s="5">
        <f t="shared" si="0"/>
        <v>0.41358024691358025</v>
      </c>
    </row>
    <row r="43" spans="1:20" x14ac:dyDescent="0.2">
      <c r="A43" s="26">
        <v>2014</v>
      </c>
      <c r="B43" s="3" t="s">
        <v>20</v>
      </c>
      <c r="C43" s="4">
        <v>6020250</v>
      </c>
      <c r="D43" s="4">
        <v>13823172</v>
      </c>
      <c r="E43" s="4">
        <v>35328005</v>
      </c>
      <c r="F43" s="4">
        <v>0</v>
      </c>
      <c r="G43" s="4">
        <f>SUM(B43:F43)</f>
        <v>55171427</v>
      </c>
      <c r="H43" s="4">
        <v>47541877</v>
      </c>
      <c r="I43" s="4">
        <v>116865707</v>
      </c>
      <c r="J43" s="27">
        <f>G43/I43</f>
        <v>0.47209252753675635</v>
      </c>
      <c r="K43" s="29">
        <f>H43/I43</f>
        <v>0.40680776440260613</v>
      </c>
      <c r="L43" s="6">
        <v>573</v>
      </c>
      <c r="M43" s="7">
        <v>0.66500000000000004</v>
      </c>
      <c r="N43" s="10">
        <v>12.8</v>
      </c>
      <c r="O43" s="6">
        <v>79</v>
      </c>
      <c r="P43" s="10">
        <v>3.38</v>
      </c>
      <c r="Q43" s="6">
        <v>93</v>
      </c>
      <c r="R43" s="10">
        <v>3.47</v>
      </c>
      <c r="S43" s="6">
        <v>97</v>
      </c>
      <c r="T43" s="5">
        <f t="shared" si="0"/>
        <v>0.48765432098765432</v>
      </c>
    </row>
    <row r="44" spans="1:20" x14ac:dyDescent="0.2">
      <c r="A44" s="26">
        <v>2013</v>
      </c>
      <c r="B44" s="3" t="s">
        <v>20</v>
      </c>
      <c r="C44" s="4">
        <v>14038196</v>
      </c>
      <c r="D44" s="4">
        <v>17924676</v>
      </c>
      <c r="E44" s="4">
        <v>29325094</v>
      </c>
      <c r="F44" s="4">
        <v>0</v>
      </c>
      <c r="G44" s="4">
        <f>SUM(B44:F44)</f>
        <v>61287966</v>
      </c>
      <c r="H44" s="4">
        <v>25373876</v>
      </c>
      <c r="I44" s="4">
        <v>94947950</v>
      </c>
      <c r="J44" s="27">
        <f>G44/I44</f>
        <v>0.64549014486358047</v>
      </c>
      <c r="K44" s="29">
        <f>H44/I44</f>
        <v>0.2672398508867227</v>
      </c>
      <c r="L44" s="6">
        <v>688</v>
      </c>
      <c r="M44" s="7">
        <v>0.72299999999999998</v>
      </c>
      <c r="N44" s="10">
        <v>25.6</v>
      </c>
      <c r="O44" s="6">
        <v>96</v>
      </c>
      <c r="P44" s="10">
        <v>3.18</v>
      </c>
      <c r="Q44" s="6">
        <v>86</v>
      </c>
      <c r="R44" s="10">
        <v>3.44</v>
      </c>
      <c r="S44" s="6">
        <v>94</v>
      </c>
      <c r="T44" s="5">
        <f t="shared" si="0"/>
        <v>0.59259259259259256</v>
      </c>
    </row>
    <row r="45" spans="1:20" x14ac:dyDescent="0.2">
      <c r="A45" s="26">
        <v>2012</v>
      </c>
      <c r="B45" s="3" t="s">
        <v>20</v>
      </c>
      <c r="C45" s="4">
        <v>13871666</v>
      </c>
      <c r="D45" s="4">
        <v>36194508</v>
      </c>
      <c r="E45" s="4">
        <v>9535000</v>
      </c>
      <c r="F45" s="4">
        <v>0</v>
      </c>
      <c r="G45" s="4">
        <f>SUM(B45:F45)</f>
        <v>59601174</v>
      </c>
      <c r="H45" s="4">
        <v>26891442</v>
      </c>
      <c r="I45" s="4">
        <v>97928056</v>
      </c>
      <c r="J45" s="27">
        <f>G45/I45</f>
        <v>0.60862204800634456</v>
      </c>
      <c r="K45" s="29">
        <f>H45/I45</f>
        <v>0.27460406239453994</v>
      </c>
      <c r="L45" s="6">
        <v>700</v>
      </c>
      <c r="M45" s="7">
        <v>0.70899999999999996</v>
      </c>
      <c r="N45" s="10">
        <v>27.3</v>
      </c>
      <c r="O45" s="6">
        <v>94</v>
      </c>
      <c r="P45" s="10">
        <v>3.42</v>
      </c>
      <c r="Q45" s="6">
        <v>87</v>
      </c>
      <c r="R45" s="10">
        <v>3.74</v>
      </c>
      <c r="S45" s="6">
        <v>98</v>
      </c>
      <c r="T45" s="5">
        <f t="shared" si="0"/>
        <v>0.58024691358024694</v>
      </c>
    </row>
    <row r="46" spans="1:20" x14ac:dyDescent="0.2">
      <c r="A46" s="26">
        <v>2011</v>
      </c>
      <c r="B46" s="3" t="s">
        <v>20</v>
      </c>
      <c r="C46" s="4">
        <v>8755666</v>
      </c>
      <c r="D46" s="4">
        <v>33492852</v>
      </c>
      <c r="E46" s="4">
        <v>10836409</v>
      </c>
      <c r="F46" s="4">
        <v>0</v>
      </c>
      <c r="G46" s="4">
        <f>SUM(B46:F46)</f>
        <v>53084927</v>
      </c>
      <c r="H46" s="4">
        <v>45436703</v>
      </c>
      <c r="I46" s="4">
        <v>99830230</v>
      </c>
      <c r="J46" s="27">
        <f>G46/I46</f>
        <v>0.5317520254135446</v>
      </c>
      <c r="K46" s="29">
        <f>H46/I46</f>
        <v>0.4551397207038389</v>
      </c>
      <c r="L46" s="6">
        <v>641</v>
      </c>
      <c r="M46" s="7">
        <v>0.69499999999999995</v>
      </c>
      <c r="N46" s="10">
        <v>18.5</v>
      </c>
      <c r="O46" s="6">
        <v>89</v>
      </c>
      <c r="P46" s="10">
        <v>3.49</v>
      </c>
      <c r="Q46" s="6">
        <v>92</v>
      </c>
      <c r="R46" s="10">
        <v>3.49</v>
      </c>
      <c r="S46" s="6">
        <v>93</v>
      </c>
      <c r="T46" s="5">
        <f t="shared" si="0"/>
        <v>0.54938271604938271</v>
      </c>
    </row>
    <row r="47" spans="1:20" x14ac:dyDescent="0.2">
      <c r="A47" s="26">
        <v>2019</v>
      </c>
      <c r="B47" s="3" t="s">
        <v>29</v>
      </c>
      <c r="C47" s="4">
        <v>17809431</v>
      </c>
      <c r="D47" s="4">
        <v>21629716</v>
      </c>
      <c r="E47" s="4">
        <v>44568980</v>
      </c>
      <c r="F47" s="4">
        <v>0</v>
      </c>
      <c r="G47" s="4">
        <f>SUM(B47:F47)</f>
        <v>84008127</v>
      </c>
      <c r="H47" s="4">
        <v>23181670</v>
      </c>
      <c r="I47" s="4">
        <v>135889019</v>
      </c>
      <c r="J47" s="27">
        <f>G47/I47</f>
        <v>0.61821129932507646</v>
      </c>
      <c r="K47" s="28">
        <f>H47/I47</f>
        <v>0.17059266576940996</v>
      </c>
      <c r="L47" s="6">
        <v>769</v>
      </c>
      <c r="M47" s="7">
        <v>0.76700000000000002</v>
      </c>
      <c r="N47" s="10">
        <v>24.2</v>
      </c>
      <c r="O47" s="6">
        <v>89</v>
      </c>
      <c r="P47" s="10">
        <v>4.4000000000000004</v>
      </c>
      <c r="Q47" s="6">
        <v>99</v>
      </c>
      <c r="R47" s="10">
        <v>4.46</v>
      </c>
      <c r="S47" s="6">
        <v>100</v>
      </c>
      <c r="T47" s="5">
        <f t="shared" si="0"/>
        <v>0.54938271604938271</v>
      </c>
    </row>
    <row r="48" spans="1:20" x14ac:dyDescent="0.2">
      <c r="A48" s="26">
        <v>2018</v>
      </c>
      <c r="B48" s="3" t="s">
        <v>29</v>
      </c>
      <c r="C48" s="4">
        <v>1090430</v>
      </c>
      <c r="D48" s="4">
        <v>13734493</v>
      </c>
      <c r="E48" s="4">
        <v>43123154</v>
      </c>
      <c r="F48" s="4">
        <v>0</v>
      </c>
      <c r="G48" s="4">
        <f>SUM(B48:F48)</f>
        <v>57948077</v>
      </c>
      <c r="H48" s="4">
        <v>31940762</v>
      </c>
      <c r="I48" s="4">
        <v>108982016</v>
      </c>
      <c r="J48" s="27">
        <f>G48/I48</f>
        <v>0.53172146310818846</v>
      </c>
      <c r="K48" s="28">
        <f>H48/I48</f>
        <v>0.29308286974614234</v>
      </c>
      <c r="L48" s="6">
        <v>754</v>
      </c>
      <c r="M48" s="7">
        <v>0.747</v>
      </c>
      <c r="N48" s="10">
        <v>27.5</v>
      </c>
      <c r="O48" s="6">
        <v>96</v>
      </c>
      <c r="P48" s="10">
        <v>3.73</v>
      </c>
      <c r="Q48" s="6">
        <v>92</v>
      </c>
      <c r="R48" s="10">
        <v>4.01</v>
      </c>
      <c r="S48" s="6">
        <v>98</v>
      </c>
      <c r="T48" s="5">
        <f t="shared" si="0"/>
        <v>0.59259259259259256</v>
      </c>
    </row>
    <row r="49" spans="1:20" x14ac:dyDescent="0.2">
      <c r="A49" s="26">
        <v>2017</v>
      </c>
      <c r="B49" s="3" t="s">
        <v>29</v>
      </c>
      <c r="C49" s="4">
        <v>2786655</v>
      </c>
      <c r="D49" s="4">
        <v>10090989</v>
      </c>
      <c r="E49" s="4">
        <v>21830344</v>
      </c>
      <c r="F49" s="4">
        <v>0</v>
      </c>
      <c r="G49" s="4">
        <f>SUM(B49:F49)</f>
        <v>34707988</v>
      </c>
      <c r="H49" s="4">
        <v>22870942</v>
      </c>
      <c r="I49" s="4">
        <v>68945179</v>
      </c>
      <c r="J49" s="27">
        <f>G49/I49</f>
        <v>0.50341428513805153</v>
      </c>
      <c r="K49" s="28">
        <f>H49/I49</f>
        <v>0.33172648663367749</v>
      </c>
      <c r="L49" s="6">
        <v>732</v>
      </c>
      <c r="M49" s="7">
        <v>0.751</v>
      </c>
      <c r="N49" s="10">
        <v>17.3</v>
      </c>
      <c r="O49" s="6">
        <v>86</v>
      </c>
      <c r="P49" s="10">
        <v>4</v>
      </c>
      <c r="Q49" s="6">
        <v>91</v>
      </c>
      <c r="R49" s="10">
        <v>4.24</v>
      </c>
      <c r="S49" s="6">
        <v>97</v>
      </c>
      <c r="T49" s="5">
        <f t="shared" si="0"/>
        <v>0.53086419753086422</v>
      </c>
    </row>
    <row r="50" spans="1:20" x14ac:dyDescent="0.2">
      <c r="A50" s="26">
        <v>2016</v>
      </c>
      <c r="B50" s="3" t="s">
        <v>29</v>
      </c>
      <c r="C50" s="4">
        <f>4350000+1125000</f>
        <v>5475000</v>
      </c>
      <c r="D50" s="4">
        <f>2500000+518100+5500000+508600+507500+512900</f>
        <v>10047100</v>
      </c>
      <c r="E50" s="4">
        <f>514000+508500+20000000+513800+508800</f>
        <v>22045100</v>
      </c>
      <c r="F50" s="4">
        <v>0</v>
      </c>
      <c r="G50" s="4">
        <f>SUM(B50:F50)</f>
        <v>37567200</v>
      </c>
      <c r="H50" s="4">
        <f>16861000+7445200</f>
        <v>24306200</v>
      </c>
      <c r="I50" s="4">
        <v>63908300</v>
      </c>
      <c r="J50" s="27">
        <f>G50/I50</f>
        <v>0.58782974981340452</v>
      </c>
      <c r="K50" s="29">
        <f>H50/I50</f>
        <v>0.38032931559750455</v>
      </c>
      <c r="L50" s="6">
        <v>671</v>
      </c>
      <c r="M50" s="7">
        <v>0.72899999999999998</v>
      </c>
      <c r="N50" s="10">
        <v>12.7</v>
      </c>
      <c r="O50" s="6">
        <v>73</v>
      </c>
      <c r="P50" s="10">
        <v>4.0999999999999996</v>
      </c>
      <c r="Q50" s="6">
        <v>97</v>
      </c>
      <c r="R50" s="10">
        <v>4.37</v>
      </c>
      <c r="S50" s="6">
        <v>104</v>
      </c>
      <c r="T50" s="5">
        <f t="shared" si="0"/>
        <v>0.45061728395061729</v>
      </c>
    </row>
    <row r="51" spans="1:20" x14ac:dyDescent="0.2">
      <c r="A51" s="26">
        <v>2015</v>
      </c>
      <c r="B51" s="3" t="s">
        <v>29</v>
      </c>
      <c r="C51" s="4">
        <v>4297103</v>
      </c>
      <c r="D51" s="4">
        <v>9292591</v>
      </c>
      <c r="E51" s="4">
        <v>14816790</v>
      </c>
      <c r="F51" s="4">
        <v>0</v>
      </c>
      <c r="G51" s="4">
        <f>SUM(B51:F51)</f>
        <v>28406484</v>
      </c>
      <c r="H51" s="4">
        <v>30366230</v>
      </c>
      <c r="I51" s="4">
        <v>94010873</v>
      </c>
      <c r="J51" s="27">
        <f>G51/I51</f>
        <v>0.30216168719122521</v>
      </c>
      <c r="K51" s="29">
        <f>H51/I51</f>
        <v>0.32300763763782941</v>
      </c>
      <c r="L51" s="6">
        <v>655</v>
      </c>
      <c r="M51" s="7">
        <v>0.7</v>
      </c>
      <c r="N51" s="10">
        <v>12.6</v>
      </c>
      <c r="O51" s="6">
        <v>68</v>
      </c>
      <c r="P51" s="10">
        <v>4.28</v>
      </c>
      <c r="Q51" s="6">
        <v>107</v>
      </c>
      <c r="R51" s="10">
        <v>4.17</v>
      </c>
      <c r="S51" s="6">
        <v>104</v>
      </c>
      <c r="T51" s="5">
        <f t="shared" si="0"/>
        <v>0.41975308641975306</v>
      </c>
    </row>
    <row r="52" spans="1:20" x14ac:dyDescent="0.2">
      <c r="A52" s="26">
        <v>2014</v>
      </c>
      <c r="B52" s="3" t="s">
        <v>29</v>
      </c>
      <c r="C52" s="4">
        <v>2927000</v>
      </c>
      <c r="D52" s="4">
        <v>33589637</v>
      </c>
      <c r="E52" s="4">
        <v>20648163</v>
      </c>
      <c r="F52" s="4">
        <v>0</v>
      </c>
      <c r="G52" s="4">
        <f>SUM(B52:F52)</f>
        <v>57164800</v>
      </c>
      <c r="H52" s="4">
        <v>51009789</v>
      </c>
      <c r="I52" s="4">
        <v>110577046</v>
      </c>
      <c r="J52" s="27">
        <f>G52/I52</f>
        <v>0.51696805139829838</v>
      </c>
      <c r="K52" s="29">
        <f>H52/I52</f>
        <v>0.46130540510188706</v>
      </c>
      <c r="L52" s="6">
        <v>650</v>
      </c>
      <c r="M52" s="7">
        <v>0.70799999999999996</v>
      </c>
      <c r="N52" s="10">
        <v>20.8</v>
      </c>
      <c r="O52" s="6">
        <v>82</v>
      </c>
      <c r="P52" s="10">
        <v>3.67</v>
      </c>
      <c r="Q52" s="6">
        <v>97</v>
      </c>
      <c r="R52" s="10">
        <v>3.89</v>
      </c>
      <c r="S52" s="6">
        <v>101</v>
      </c>
      <c r="T52" s="5">
        <f t="shared" si="0"/>
        <v>0.50617283950617287</v>
      </c>
    </row>
    <row r="53" spans="1:20" x14ac:dyDescent="0.2">
      <c r="A53" s="26">
        <v>2013</v>
      </c>
      <c r="B53" s="3" t="s">
        <v>29</v>
      </c>
      <c r="C53" s="4">
        <v>2494000</v>
      </c>
      <c r="D53" s="4">
        <v>23601015</v>
      </c>
      <c r="E53" s="4">
        <v>17794547</v>
      </c>
      <c r="F53" s="4">
        <v>0</v>
      </c>
      <c r="G53" s="4">
        <f>SUM(B53:F53)</f>
        <v>43889562</v>
      </c>
      <c r="H53" s="4">
        <v>25253128</v>
      </c>
      <c r="I53" s="4">
        <v>88221045</v>
      </c>
      <c r="J53" s="27">
        <f>G53/I53</f>
        <v>0.49749537652835557</v>
      </c>
      <c r="K53" s="29">
        <f>H53/I53</f>
        <v>0.28624834357833778</v>
      </c>
      <c r="L53" s="6">
        <v>640</v>
      </c>
      <c r="M53" s="7">
        <v>0.70799999999999996</v>
      </c>
      <c r="N53" s="10">
        <v>22.6</v>
      </c>
      <c r="O53" s="6">
        <v>74</v>
      </c>
      <c r="P53" s="10">
        <v>3.84</v>
      </c>
      <c r="Q53" s="6">
        <v>99</v>
      </c>
      <c r="R53" s="10">
        <v>4.12</v>
      </c>
      <c r="S53" s="6">
        <v>105</v>
      </c>
      <c r="T53" s="5">
        <f t="shared" si="0"/>
        <v>0.4567901234567901</v>
      </c>
    </row>
    <row r="54" spans="1:20" x14ac:dyDescent="0.2">
      <c r="A54" s="26">
        <v>2012</v>
      </c>
      <c r="B54" s="3" t="s">
        <v>29</v>
      </c>
      <c r="C54" s="4">
        <v>1114098</v>
      </c>
      <c r="D54" s="4">
        <v>24781000</v>
      </c>
      <c r="E54" s="4">
        <v>24785833</v>
      </c>
      <c r="F54" s="4">
        <v>0</v>
      </c>
      <c r="G54" s="4">
        <f>SUM(B54:F54)</f>
        <v>50680931</v>
      </c>
      <c r="H54" s="4">
        <v>57780653</v>
      </c>
      <c r="I54" s="4">
        <v>110905300</v>
      </c>
      <c r="J54" s="27">
        <f>G54/I54</f>
        <v>0.45697483348406254</v>
      </c>
      <c r="K54" s="29">
        <f>H54/I54</f>
        <v>0.52099090845973994</v>
      </c>
      <c r="L54" s="6">
        <v>776</v>
      </c>
      <c r="M54" s="7">
        <v>0.76200000000000001</v>
      </c>
      <c r="N54" s="10">
        <v>28.3</v>
      </c>
      <c r="O54" s="6">
        <v>83</v>
      </c>
      <c r="P54" s="10">
        <v>4.22</v>
      </c>
      <c r="Q54" s="6">
        <v>104</v>
      </c>
      <c r="R54" s="10">
        <v>3.82</v>
      </c>
      <c r="S54" s="6">
        <v>94</v>
      </c>
      <c r="T54" s="5">
        <f t="shared" si="0"/>
        <v>0.51234567901234573</v>
      </c>
    </row>
    <row r="55" spans="1:20" x14ac:dyDescent="0.2">
      <c r="A55" s="26">
        <v>2011</v>
      </c>
      <c r="B55" s="3" t="s">
        <v>29</v>
      </c>
      <c r="C55" s="4">
        <v>2053000</v>
      </c>
      <c r="D55" s="4">
        <v>10438000</v>
      </c>
      <c r="E55" s="4">
        <v>15961333</v>
      </c>
      <c r="F55" s="4">
        <v>15500000</v>
      </c>
      <c r="G55" s="4">
        <f>SUM(B55:F55)</f>
        <v>43952333</v>
      </c>
      <c r="H55" s="4">
        <v>48175469</v>
      </c>
      <c r="I55" s="4">
        <v>92627802</v>
      </c>
      <c r="J55" s="27">
        <f>G55/I55</f>
        <v>0.47450476046057966</v>
      </c>
      <c r="K55" s="29">
        <f>H55/I55</f>
        <v>0.52009729217152323</v>
      </c>
      <c r="L55" s="6">
        <v>721</v>
      </c>
      <c r="M55" s="7">
        <v>0.75</v>
      </c>
      <c r="N55" s="10">
        <v>30.5</v>
      </c>
      <c r="O55" s="6">
        <v>96</v>
      </c>
      <c r="P55" s="10">
        <v>3.64</v>
      </c>
      <c r="Q55" s="6">
        <v>94</v>
      </c>
      <c r="R55" s="10">
        <v>3.59</v>
      </c>
      <c r="S55" s="6">
        <v>90</v>
      </c>
      <c r="T55" s="5">
        <f t="shared" si="0"/>
        <v>0.59259259259259256</v>
      </c>
    </row>
    <row r="56" spans="1:20" x14ac:dyDescent="0.2">
      <c r="A56" s="26">
        <v>2019</v>
      </c>
      <c r="B56" s="3" t="s">
        <v>13</v>
      </c>
      <c r="C56" s="4">
        <v>21804368</v>
      </c>
      <c r="D56" s="4">
        <v>41231420</v>
      </c>
      <c r="E56" s="4">
        <v>18063476</v>
      </c>
      <c r="F56" s="4">
        <v>0</v>
      </c>
      <c r="G56" s="4">
        <f>SUM(B56:F56)</f>
        <v>81099264</v>
      </c>
      <c r="H56" s="4">
        <v>54724192</v>
      </c>
      <c r="I56" s="4">
        <v>174317164</v>
      </c>
      <c r="J56" s="27">
        <f>G56/I56</f>
        <v>0.46523969378024072</v>
      </c>
      <c r="K56" s="28">
        <f>H56/I56</f>
        <v>0.31393461632957725</v>
      </c>
      <c r="L56" s="6">
        <v>764</v>
      </c>
      <c r="M56" s="7">
        <v>0.73699999999999999</v>
      </c>
      <c r="N56" s="10">
        <v>22.3</v>
      </c>
      <c r="O56" s="6">
        <v>91</v>
      </c>
      <c r="P56" s="10">
        <v>3.82</v>
      </c>
      <c r="Q56" s="6">
        <v>90</v>
      </c>
      <c r="R56" s="10">
        <v>4.2699999999999996</v>
      </c>
      <c r="S56" s="6">
        <v>98</v>
      </c>
      <c r="T56" s="5">
        <f t="shared" si="0"/>
        <v>0.56172839506172845</v>
      </c>
    </row>
    <row r="57" spans="1:20" x14ac:dyDescent="0.2">
      <c r="A57" s="26">
        <v>2018</v>
      </c>
      <c r="B57" s="3" t="s">
        <v>13</v>
      </c>
      <c r="C57" s="4">
        <v>20825800</v>
      </c>
      <c r="D57" s="4">
        <v>28037811</v>
      </c>
      <c r="E57" s="4">
        <v>9946390</v>
      </c>
      <c r="F57" s="4">
        <v>0</v>
      </c>
      <c r="G57" s="4">
        <f>SUM(B57:F57)</f>
        <v>58810001</v>
      </c>
      <c r="H57" s="4">
        <v>55181328</v>
      </c>
      <c r="I57" s="4">
        <v>163784311</v>
      </c>
      <c r="J57" s="27">
        <f>G57/I57</f>
        <v>0.35906980736390559</v>
      </c>
      <c r="K57" s="28">
        <f>H57/I57</f>
        <v>0.33691461448954046</v>
      </c>
      <c r="L57" s="6">
        <v>759</v>
      </c>
      <c r="M57" s="7">
        <v>0.73</v>
      </c>
      <c r="N57" s="10">
        <v>25.8</v>
      </c>
      <c r="O57" s="6">
        <v>88</v>
      </c>
      <c r="P57" s="10">
        <v>3.85</v>
      </c>
      <c r="Q57" s="6">
        <v>99</v>
      </c>
      <c r="R57" s="10">
        <v>3.97</v>
      </c>
      <c r="S57" s="6">
        <v>100</v>
      </c>
      <c r="T57" s="5">
        <f t="shared" si="0"/>
        <v>0.54320987654320985</v>
      </c>
    </row>
    <row r="58" spans="1:20" x14ac:dyDescent="0.2">
      <c r="A58" s="26">
        <v>2017</v>
      </c>
      <c r="B58" s="3" t="s">
        <v>13</v>
      </c>
      <c r="C58" s="4">
        <v>14503992</v>
      </c>
      <c r="D58" s="4">
        <v>20357571</v>
      </c>
      <c r="E58" s="4">
        <v>19501028</v>
      </c>
      <c r="F58" s="4">
        <v>0</v>
      </c>
      <c r="G58" s="4">
        <f>SUM(B58:F58)</f>
        <v>54362591</v>
      </c>
      <c r="H58" s="4">
        <v>53599363</v>
      </c>
      <c r="I58" s="4">
        <v>145256085</v>
      </c>
      <c r="J58" s="27">
        <f>G58/I58</f>
        <v>0.37425345038040919</v>
      </c>
      <c r="K58" s="28">
        <f>H58/I58</f>
        <v>0.36899908874729759</v>
      </c>
      <c r="L58" s="6">
        <v>761</v>
      </c>
      <c r="M58" s="7">
        <v>0.76</v>
      </c>
      <c r="N58" s="10">
        <v>26.3</v>
      </c>
      <c r="O58" s="6">
        <v>83</v>
      </c>
      <c r="P58" s="10">
        <v>4.01</v>
      </c>
      <c r="Q58" s="6">
        <v>96</v>
      </c>
      <c r="R58" s="10">
        <v>4.09</v>
      </c>
      <c r="S58" s="6">
        <v>97</v>
      </c>
      <c r="T58" s="5">
        <f t="shared" si="0"/>
        <v>0.51234567901234573</v>
      </c>
    </row>
    <row r="59" spans="1:20" x14ac:dyDescent="0.2">
      <c r="A59" s="26">
        <v>2016</v>
      </c>
      <c r="B59" s="3" t="s">
        <v>13</v>
      </c>
      <c r="C59" s="4">
        <v>17027214</v>
      </c>
      <c r="D59" s="4">
        <v>28802085</v>
      </c>
      <c r="E59" s="4">
        <v>1873125</v>
      </c>
      <c r="F59" s="4">
        <v>25250000</v>
      </c>
      <c r="G59" s="4">
        <f>SUM(B59:F59)</f>
        <v>72952424</v>
      </c>
      <c r="H59" s="4">
        <v>59837965</v>
      </c>
      <c r="I59" s="4">
        <v>149355870</v>
      </c>
      <c r="J59" s="27">
        <f>G59/I59</f>
        <v>0.48844698236500511</v>
      </c>
      <c r="K59" s="29">
        <f>H59/I59</f>
        <v>0.40064019579545151</v>
      </c>
      <c r="L59" s="6">
        <v>779</v>
      </c>
      <c r="M59" s="7">
        <v>0.76800000000000002</v>
      </c>
      <c r="N59" s="10">
        <v>22</v>
      </c>
      <c r="O59" s="6">
        <v>86</v>
      </c>
      <c r="P59" s="10">
        <v>4.08</v>
      </c>
      <c r="Q59" s="6">
        <v>100</v>
      </c>
      <c r="R59" s="10">
        <v>3.88</v>
      </c>
      <c r="S59" s="6">
        <v>95</v>
      </c>
      <c r="T59" s="5">
        <f t="shared" si="0"/>
        <v>0.53086419753086422</v>
      </c>
    </row>
    <row r="60" spans="1:20" x14ac:dyDescent="0.2">
      <c r="A60" s="26">
        <v>2015</v>
      </c>
      <c r="B60" s="3" t="s">
        <v>13</v>
      </c>
      <c r="C60" s="4">
        <v>16346774</v>
      </c>
      <c r="D60" s="4">
        <v>24503486</v>
      </c>
      <c r="E60" s="4">
        <v>14976024</v>
      </c>
      <c r="F60" s="4">
        <v>19404781</v>
      </c>
      <c r="G60" s="4">
        <f>SUM(B60:F60)</f>
        <v>75231065</v>
      </c>
      <c r="H60" s="4">
        <v>53583722</v>
      </c>
      <c r="I60" s="4">
        <v>132178951</v>
      </c>
      <c r="J60" s="27">
        <f>G60/I60</f>
        <v>0.56916070547420217</v>
      </c>
      <c r="K60" s="29">
        <f>H60/I60</f>
        <v>0.4053877080625341</v>
      </c>
      <c r="L60" s="6">
        <v>647</v>
      </c>
      <c r="M60" s="7">
        <v>0.71599999999999997</v>
      </c>
      <c r="N60" s="10">
        <v>23.6</v>
      </c>
      <c r="O60" s="6">
        <v>100</v>
      </c>
      <c r="P60" s="10">
        <v>2.94</v>
      </c>
      <c r="Q60" s="6">
        <v>77</v>
      </c>
      <c r="R60" s="10">
        <v>3.48</v>
      </c>
      <c r="S60" s="6">
        <v>91</v>
      </c>
      <c r="T60" s="5">
        <f t="shared" si="0"/>
        <v>0.61728395061728392</v>
      </c>
    </row>
    <row r="61" spans="1:20" x14ac:dyDescent="0.2">
      <c r="A61" s="26">
        <v>2014</v>
      </c>
      <c r="B61" s="3" t="s">
        <v>13</v>
      </c>
      <c r="C61" s="4">
        <v>15988539</v>
      </c>
      <c r="D61" s="4">
        <v>24543780</v>
      </c>
      <c r="E61" s="4">
        <v>5630016</v>
      </c>
      <c r="F61" s="4">
        <v>17000000</v>
      </c>
      <c r="G61" s="4">
        <f>SUM(B61:F61)</f>
        <v>63162335</v>
      </c>
      <c r="H61" s="4">
        <v>51370708</v>
      </c>
      <c r="I61" s="4">
        <v>121232929</v>
      </c>
      <c r="J61" s="27">
        <f>G61/I61</f>
        <v>0.52099982670549849</v>
      </c>
      <c r="K61" s="29">
        <f>H61/I61</f>
        <v>0.42373560074589967</v>
      </c>
      <c r="L61" s="6">
        <v>619</v>
      </c>
      <c r="M61" s="7">
        <v>0.68899999999999995</v>
      </c>
      <c r="N61" s="10">
        <v>18.100000000000001</v>
      </c>
      <c r="O61" s="6">
        <v>90</v>
      </c>
      <c r="P61" s="10">
        <v>3.5</v>
      </c>
      <c r="Q61" s="6">
        <v>97</v>
      </c>
      <c r="R61" s="10">
        <v>3.65</v>
      </c>
      <c r="S61" s="6">
        <v>100</v>
      </c>
      <c r="T61" s="5">
        <f t="shared" si="0"/>
        <v>0.55555555555555558</v>
      </c>
    </row>
    <row r="62" spans="1:20" x14ac:dyDescent="0.2">
      <c r="A62" s="26">
        <v>2013</v>
      </c>
      <c r="B62" s="3" t="s">
        <v>13</v>
      </c>
      <c r="C62" s="4">
        <v>15022562</v>
      </c>
      <c r="D62" s="4">
        <v>5385272</v>
      </c>
      <c r="E62" s="4">
        <v>3015660</v>
      </c>
      <c r="F62" s="4">
        <v>30050000</v>
      </c>
      <c r="G62" s="4">
        <f>SUM(B62:F62)</f>
        <v>53473494</v>
      </c>
      <c r="H62" s="4">
        <v>41580428</v>
      </c>
      <c r="I62" s="4">
        <v>120516627</v>
      </c>
      <c r="J62" s="27">
        <f>G62/I62</f>
        <v>0.44370221214372352</v>
      </c>
      <c r="K62" s="29">
        <f>H62/I62</f>
        <v>0.34501818574793003</v>
      </c>
      <c r="L62" s="6">
        <v>783</v>
      </c>
      <c r="M62" s="7">
        <v>0.73299999999999998</v>
      </c>
      <c r="N62" s="10">
        <v>26.1</v>
      </c>
      <c r="O62" s="6">
        <v>97</v>
      </c>
      <c r="P62" s="10">
        <v>3.43</v>
      </c>
      <c r="Q62" s="6">
        <v>93</v>
      </c>
      <c r="R62" s="10">
        <v>3.39</v>
      </c>
      <c r="S62" s="6">
        <v>91</v>
      </c>
      <c r="T62" s="5">
        <f t="shared" si="0"/>
        <v>0.59876543209876543</v>
      </c>
    </row>
    <row r="63" spans="1:20" x14ac:dyDescent="0.2">
      <c r="A63" s="26">
        <v>2012</v>
      </c>
      <c r="B63" s="3" t="s">
        <v>13</v>
      </c>
      <c r="C63" s="4">
        <v>8541000</v>
      </c>
      <c r="D63" s="4">
        <v>9906000</v>
      </c>
      <c r="E63" s="4">
        <v>3459000</v>
      </c>
      <c r="F63" s="4">
        <v>42100000</v>
      </c>
      <c r="G63" s="4">
        <f>SUM(B63:F63)</f>
        <v>64006000</v>
      </c>
      <c r="H63" s="4">
        <v>54979685</v>
      </c>
      <c r="I63" s="4">
        <v>120461369</v>
      </c>
      <c r="J63" s="27">
        <f>G63/I63</f>
        <v>0.53134046650258471</v>
      </c>
      <c r="K63" s="29">
        <f>H63/I63</f>
        <v>0.45640926594483583</v>
      </c>
      <c r="L63" s="6">
        <v>765</v>
      </c>
      <c r="M63" s="7">
        <v>0.75900000000000001</v>
      </c>
      <c r="N63" s="10">
        <v>28.5</v>
      </c>
      <c r="O63" s="6">
        <v>88</v>
      </c>
      <c r="P63" s="10">
        <v>3.71</v>
      </c>
      <c r="Q63" s="6">
        <v>96</v>
      </c>
      <c r="R63" s="10">
        <v>3.62</v>
      </c>
      <c r="S63" s="6">
        <v>94</v>
      </c>
      <c r="T63" s="5">
        <f t="shared" si="0"/>
        <v>0.54320987654320985</v>
      </c>
    </row>
    <row r="64" spans="1:20" x14ac:dyDescent="0.2">
      <c r="A64" s="26">
        <v>2011</v>
      </c>
      <c r="B64" s="3" t="s">
        <v>13</v>
      </c>
      <c r="C64" s="4">
        <v>7340500</v>
      </c>
      <c r="D64" s="4">
        <v>7937500</v>
      </c>
      <c r="E64" s="4">
        <v>4772000</v>
      </c>
      <c r="F64" s="4">
        <v>41050000</v>
      </c>
      <c r="G64" s="4">
        <f>SUM(B64:F64)</f>
        <v>61100000</v>
      </c>
      <c r="H64" s="4">
        <v>55256544</v>
      </c>
      <c r="I64" s="4">
        <v>119865108</v>
      </c>
      <c r="J64" s="27">
        <f>G64/I64</f>
        <v>0.50973966502412027</v>
      </c>
      <c r="K64" s="29">
        <f>H64/I64</f>
        <v>0.46098939818249696</v>
      </c>
      <c r="L64" s="6">
        <v>762</v>
      </c>
      <c r="M64" s="7">
        <v>0.76600000000000001</v>
      </c>
      <c r="N64" s="10">
        <v>29.6</v>
      </c>
      <c r="O64" s="6">
        <v>90</v>
      </c>
      <c r="P64" s="10">
        <v>3.79</v>
      </c>
      <c r="Q64" s="6">
        <v>102</v>
      </c>
      <c r="R64" s="10">
        <v>3.75</v>
      </c>
      <c r="S64" s="6">
        <v>100</v>
      </c>
      <c r="T64" s="5">
        <f t="shared" si="0"/>
        <v>0.55555555555555558</v>
      </c>
    </row>
    <row r="65" spans="1:20" x14ac:dyDescent="0.2">
      <c r="A65" s="26">
        <v>2019</v>
      </c>
      <c r="B65" s="3" t="s">
        <v>8</v>
      </c>
      <c r="C65" s="4">
        <v>1411652</v>
      </c>
      <c r="D65" s="4">
        <v>38178972</v>
      </c>
      <c r="E65" s="4">
        <v>29717818</v>
      </c>
      <c r="F65" s="4">
        <v>0</v>
      </c>
      <c r="G65" s="4">
        <f>SUM(B65:F65)</f>
        <v>69308442</v>
      </c>
      <c r="H65" s="4">
        <v>128374774</v>
      </c>
      <c r="I65" s="4">
        <v>221590085</v>
      </c>
      <c r="J65" s="27">
        <f>G65/I65</f>
        <v>0.3127777219815589</v>
      </c>
      <c r="K65" s="28">
        <f>H65/I65</f>
        <v>0.57933446796592902</v>
      </c>
      <c r="L65" s="6">
        <v>814</v>
      </c>
      <c r="M65" s="7">
        <v>0.78300000000000003</v>
      </c>
      <c r="N65" s="10">
        <v>24.9</v>
      </c>
      <c r="O65" s="6">
        <v>84</v>
      </c>
      <c r="P65" s="10">
        <v>4.0999999999999996</v>
      </c>
      <c r="Q65" s="6">
        <v>94</v>
      </c>
      <c r="R65" s="10">
        <v>4.25</v>
      </c>
      <c r="S65" s="6">
        <v>96</v>
      </c>
      <c r="T65" s="5">
        <f t="shared" si="0"/>
        <v>0.51851851851851849</v>
      </c>
    </row>
    <row r="66" spans="1:20" x14ac:dyDescent="0.2">
      <c r="A66" s="26">
        <v>2018</v>
      </c>
      <c r="B66" s="3" t="s">
        <v>8</v>
      </c>
      <c r="C66" s="4">
        <v>1218928</v>
      </c>
      <c r="D66" s="4">
        <v>40419610</v>
      </c>
      <c r="E66" s="4">
        <v>30013567</v>
      </c>
      <c r="F66" s="4">
        <v>0</v>
      </c>
      <c r="G66" s="4">
        <f>SUM(B66:F66)</f>
        <v>71652105</v>
      </c>
      <c r="H66" s="4">
        <v>80440852</v>
      </c>
      <c r="I66" s="4">
        <v>194259933</v>
      </c>
      <c r="J66" s="27">
        <f>G66/I66</f>
        <v>0.36884654438751402</v>
      </c>
      <c r="K66" s="28">
        <f>H66/I66</f>
        <v>0.41408874572194976</v>
      </c>
      <c r="L66" s="6">
        <v>761</v>
      </c>
      <c r="M66" s="7">
        <v>0.74399999999999999</v>
      </c>
      <c r="N66" s="10">
        <v>25.1</v>
      </c>
      <c r="O66" s="6">
        <v>95</v>
      </c>
      <c r="P66" s="10">
        <v>3.65</v>
      </c>
      <c r="Q66" s="6">
        <v>91</v>
      </c>
      <c r="R66" s="10">
        <v>4.1399999999999997</v>
      </c>
      <c r="S66" s="6">
        <v>102</v>
      </c>
      <c r="T66" s="5">
        <f t="shared" si="0"/>
        <v>0.5864197530864198</v>
      </c>
    </row>
    <row r="67" spans="1:20" x14ac:dyDescent="0.2">
      <c r="A67" s="26">
        <v>2017</v>
      </c>
      <c r="B67" s="3" t="s">
        <v>8</v>
      </c>
      <c r="C67" s="4">
        <v>1951945</v>
      </c>
      <c r="D67" s="4">
        <v>26527201</v>
      </c>
      <c r="E67" s="4">
        <v>38474445</v>
      </c>
      <c r="F67" s="4">
        <v>0</v>
      </c>
      <c r="G67" s="4">
        <f>SUM(B67:F67)</f>
        <v>66953591</v>
      </c>
      <c r="H67" s="4">
        <v>94174243</v>
      </c>
      <c r="I67" s="4">
        <v>172092536</v>
      </c>
      <c r="J67" s="27">
        <f>G67/I67</f>
        <v>0.38905575195893449</v>
      </c>
      <c r="K67" s="28">
        <f>H67/I67</f>
        <v>0.54723025872545683</v>
      </c>
      <c r="L67" s="6">
        <v>822</v>
      </c>
      <c r="M67" s="7">
        <v>0.77500000000000002</v>
      </c>
      <c r="N67" s="10">
        <v>26.7</v>
      </c>
      <c r="O67" s="6">
        <v>92</v>
      </c>
      <c r="P67" s="10">
        <v>3.95</v>
      </c>
      <c r="Q67" s="6">
        <v>91</v>
      </c>
      <c r="R67" s="10">
        <v>4.2</v>
      </c>
      <c r="S67" s="6">
        <v>97</v>
      </c>
      <c r="T67" s="5">
        <f t="shared" ref="T67:T130" si="1">O67/162</f>
        <v>0.5679012345679012</v>
      </c>
    </row>
    <row r="68" spans="1:20" x14ac:dyDescent="0.2">
      <c r="A68" s="26">
        <v>2016</v>
      </c>
      <c r="B68" s="3" t="s">
        <v>8</v>
      </c>
      <c r="C68" s="4">
        <f>14000000+2500000</f>
        <v>16500000</v>
      </c>
      <c r="D68" s="4">
        <f>5285714+10500000+512000+652000+532000+527000</f>
        <v>18008714</v>
      </c>
      <c r="E68" s="4">
        <f>8000000+522000+3666666+511500+21666666</f>
        <v>34366832</v>
      </c>
      <c r="F68" s="4">
        <v>0</v>
      </c>
      <c r="G68" s="4">
        <f>SUM(B68:F68)</f>
        <v>68875546</v>
      </c>
      <c r="H68" s="4">
        <f>61241000+25719500</f>
        <v>86960500</v>
      </c>
      <c r="I68" s="4">
        <v>171611832</v>
      </c>
      <c r="J68" s="27">
        <f>G68/I68</f>
        <v>0.40134497253079848</v>
      </c>
      <c r="K68" s="29">
        <f>H68/I68</f>
        <v>0.50672788109388633</v>
      </c>
      <c r="L68" s="6">
        <v>808</v>
      </c>
      <c r="M68" s="7">
        <v>0.77200000000000002</v>
      </c>
      <c r="N68" s="10">
        <v>37.1</v>
      </c>
      <c r="O68" s="6">
        <v>103</v>
      </c>
      <c r="P68" s="10">
        <v>3.15</v>
      </c>
      <c r="Q68" s="6">
        <v>76</v>
      </c>
      <c r="R68" s="10">
        <v>3.77</v>
      </c>
      <c r="S68" s="6">
        <v>91</v>
      </c>
      <c r="T68" s="5">
        <f t="shared" si="1"/>
        <v>0.63580246913580252</v>
      </c>
    </row>
    <row r="69" spans="1:20" x14ac:dyDescent="0.2">
      <c r="A69" s="26">
        <v>2015</v>
      </c>
      <c r="B69" s="3" t="s">
        <v>8</v>
      </c>
      <c r="C69" s="4">
        <v>14580423</v>
      </c>
      <c r="D69" s="4">
        <v>14181109</v>
      </c>
      <c r="E69" s="4">
        <v>18840657</v>
      </c>
      <c r="F69" s="4">
        <v>0</v>
      </c>
      <c r="G69" s="4">
        <f>SUM(B69:F69)</f>
        <v>47602189</v>
      </c>
      <c r="H69" s="4">
        <v>59050195</v>
      </c>
      <c r="I69" s="4">
        <v>132993810</v>
      </c>
      <c r="J69" s="27">
        <f>G69/I69</f>
        <v>0.35792785393545762</v>
      </c>
      <c r="K69" s="29">
        <f>H69/I69</f>
        <v>0.44400709326246085</v>
      </c>
      <c r="L69" s="6">
        <v>689</v>
      </c>
      <c r="M69" s="7">
        <v>0.71899999999999997</v>
      </c>
      <c r="N69" s="10">
        <v>25.4</v>
      </c>
      <c r="O69" s="6">
        <v>97</v>
      </c>
      <c r="P69" s="10">
        <v>3.36</v>
      </c>
      <c r="Q69" s="6">
        <v>86</v>
      </c>
      <c r="R69" s="10">
        <v>3.3</v>
      </c>
      <c r="S69" s="6">
        <v>85</v>
      </c>
      <c r="T69" s="5">
        <f t="shared" si="1"/>
        <v>0.59876543209876543</v>
      </c>
    </row>
    <row r="70" spans="1:20" x14ac:dyDescent="0.2">
      <c r="A70" s="26">
        <v>2014</v>
      </c>
      <c r="B70" s="3" t="s">
        <v>8</v>
      </c>
      <c r="C70" s="4">
        <v>1478770</v>
      </c>
      <c r="D70" s="4">
        <v>9732800</v>
      </c>
      <c r="E70" s="4">
        <v>8165395</v>
      </c>
      <c r="F70" s="4">
        <v>0</v>
      </c>
      <c r="G70" s="4">
        <f>SUM(B70:F70)</f>
        <v>19376965</v>
      </c>
      <c r="H70" s="4">
        <v>34227505</v>
      </c>
      <c r="I70" s="4">
        <v>89539741</v>
      </c>
      <c r="J70" s="27">
        <f>G70/I70</f>
        <v>0.21640631057889703</v>
      </c>
      <c r="K70" s="29">
        <f>H70/I70</f>
        <v>0.38226048699426102</v>
      </c>
      <c r="L70" s="6">
        <v>614</v>
      </c>
      <c r="M70" s="7">
        <v>0.68400000000000005</v>
      </c>
      <c r="N70" s="10">
        <v>15.4</v>
      </c>
      <c r="O70" s="6">
        <v>73</v>
      </c>
      <c r="P70" s="10">
        <v>3.92</v>
      </c>
      <c r="Q70" s="6">
        <v>108</v>
      </c>
      <c r="R70" s="10">
        <v>3.51</v>
      </c>
      <c r="S70" s="6">
        <v>95</v>
      </c>
      <c r="T70" s="5">
        <f t="shared" si="1"/>
        <v>0.45061728395061729</v>
      </c>
    </row>
    <row r="71" spans="1:20" x14ac:dyDescent="0.2">
      <c r="A71" s="26">
        <v>2013</v>
      </c>
      <c r="B71" s="3" t="s">
        <v>8</v>
      </c>
      <c r="C71" s="4">
        <v>2333327</v>
      </c>
      <c r="D71" s="4">
        <v>9199134</v>
      </c>
      <c r="E71" s="4">
        <v>4629538</v>
      </c>
      <c r="F71" s="4">
        <v>0</v>
      </c>
      <c r="G71" s="4">
        <f>SUM(B71:F71)</f>
        <v>16161999</v>
      </c>
      <c r="H71" s="4">
        <v>31895244</v>
      </c>
      <c r="I71" s="4">
        <v>100052899</v>
      </c>
      <c r="J71" s="27">
        <f>G71/I71</f>
        <v>0.16153453984376803</v>
      </c>
      <c r="K71" s="29">
        <f>H71/I71</f>
        <v>0.31878380655417093</v>
      </c>
      <c r="L71" s="6">
        <v>602</v>
      </c>
      <c r="M71" s="7">
        <v>0.69299999999999995</v>
      </c>
      <c r="N71" s="10">
        <v>14.1</v>
      </c>
      <c r="O71" s="6">
        <v>66</v>
      </c>
      <c r="P71" s="10">
        <v>4</v>
      </c>
      <c r="Q71" s="6">
        <v>107</v>
      </c>
      <c r="R71" s="10">
        <v>4.0999999999999996</v>
      </c>
      <c r="S71" s="6">
        <v>108</v>
      </c>
      <c r="T71" s="5">
        <f t="shared" si="1"/>
        <v>0.40740740740740738</v>
      </c>
    </row>
    <row r="72" spans="1:20" x14ac:dyDescent="0.2">
      <c r="A72" s="26">
        <v>2012</v>
      </c>
      <c r="B72" s="3" t="s">
        <v>8</v>
      </c>
      <c r="C72" s="4">
        <v>5260500</v>
      </c>
      <c r="D72" s="4">
        <v>8197200</v>
      </c>
      <c r="E72" s="4">
        <v>9637044</v>
      </c>
      <c r="F72" s="4">
        <v>19000000</v>
      </c>
      <c r="G72" s="4">
        <f>SUM(B72:F72)</f>
        <v>42094744</v>
      </c>
      <c r="H72" s="4">
        <v>41704622</v>
      </c>
      <c r="I72" s="4">
        <v>116341526</v>
      </c>
      <c r="J72" s="27">
        <f>G72/I72</f>
        <v>0.3618204560940691</v>
      </c>
      <c r="K72" s="29">
        <f>H72/I72</f>
        <v>0.35846720800275561</v>
      </c>
      <c r="L72" s="6">
        <v>613</v>
      </c>
      <c r="M72" s="7">
        <v>0.68</v>
      </c>
      <c r="N72" s="10">
        <v>11.3</v>
      </c>
      <c r="O72" s="6">
        <v>61</v>
      </c>
      <c r="P72" s="10">
        <v>4.51</v>
      </c>
      <c r="Q72" s="6">
        <v>112</v>
      </c>
      <c r="R72" s="10">
        <v>4.46</v>
      </c>
      <c r="S72" s="6">
        <v>114</v>
      </c>
      <c r="T72" s="5">
        <f t="shared" si="1"/>
        <v>0.37654320987654322</v>
      </c>
    </row>
    <row r="73" spans="1:20" x14ac:dyDescent="0.2">
      <c r="A73" s="26">
        <v>2011</v>
      </c>
      <c r="B73" s="3" t="s">
        <v>8</v>
      </c>
      <c r="C73" s="4">
        <v>4286622</v>
      </c>
      <c r="D73" s="4">
        <v>27954996</v>
      </c>
      <c r="E73" s="4">
        <v>7232524</v>
      </c>
      <c r="F73" s="4">
        <v>19000000</v>
      </c>
      <c r="G73" s="4">
        <f>SUM(B73:F73)</f>
        <v>58474142</v>
      </c>
      <c r="H73" s="4">
        <v>66178556</v>
      </c>
      <c r="I73" s="4">
        <v>139477698</v>
      </c>
      <c r="J73" s="27">
        <f>G73/I73</f>
        <v>0.41923650044754823</v>
      </c>
      <c r="K73" s="29">
        <f>H73/I73</f>
        <v>0.47447410553047698</v>
      </c>
      <c r="L73" s="6">
        <v>654</v>
      </c>
      <c r="M73" s="7">
        <v>0.71499999999999997</v>
      </c>
      <c r="N73" s="10">
        <v>14.3</v>
      </c>
      <c r="O73" s="6">
        <v>71</v>
      </c>
      <c r="P73" s="10">
        <v>4.34</v>
      </c>
      <c r="Q73" s="6">
        <v>110</v>
      </c>
      <c r="R73" s="10">
        <v>4.1100000000000003</v>
      </c>
      <c r="S73" s="6">
        <v>106</v>
      </c>
      <c r="T73" s="5">
        <f t="shared" si="1"/>
        <v>0.43827160493827161</v>
      </c>
    </row>
    <row r="74" spans="1:20" x14ac:dyDescent="0.2">
      <c r="A74" s="26">
        <v>2019</v>
      </c>
      <c r="B74" s="3" t="s">
        <v>22</v>
      </c>
      <c r="C74" s="4">
        <v>5283120</v>
      </c>
      <c r="D74" s="4">
        <v>22247086</v>
      </c>
      <c r="E74" s="4">
        <v>8586536</v>
      </c>
      <c r="F74" s="4">
        <v>0</v>
      </c>
      <c r="G74" s="4">
        <f>SUM(B74:F74)</f>
        <v>36116742</v>
      </c>
      <c r="H74" s="4">
        <v>28524000</v>
      </c>
      <c r="I74" s="4">
        <v>118927905</v>
      </c>
      <c r="J74" s="27">
        <f>G74/I74</f>
        <v>0.30368601885318675</v>
      </c>
      <c r="K74" s="28">
        <f>H74/I74</f>
        <v>0.23984278542533816</v>
      </c>
      <c r="L74" s="6">
        <v>813</v>
      </c>
      <c r="M74" s="7">
        <v>0.75700000000000001</v>
      </c>
      <c r="N74" s="10">
        <v>23.4</v>
      </c>
      <c r="O74" s="6">
        <v>85</v>
      </c>
      <c r="P74" s="10">
        <v>4.25</v>
      </c>
      <c r="Q74" s="6">
        <v>96</v>
      </c>
      <c r="R74" s="10">
        <v>4.4000000000000004</v>
      </c>
      <c r="S74" s="6">
        <v>100</v>
      </c>
      <c r="T74" s="5">
        <f t="shared" si="1"/>
        <v>0.52469135802469136</v>
      </c>
    </row>
    <row r="75" spans="1:20" x14ac:dyDescent="0.2">
      <c r="A75" s="26">
        <v>2018</v>
      </c>
      <c r="B75" s="3" t="s">
        <v>22</v>
      </c>
      <c r="C75" s="4">
        <v>6656912</v>
      </c>
      <c r="D75" s="4">
        <v>19151915</v>
      </c>
      <c r="E75" s="4">
        <v>20013083</v>
      </c>
      <c r="F75" s="4">
        <v>0</v>
      </c>
      <c r="G75" s="4">
        <f>SUM(B75:F75)</f>
        <v>45821910</v>
      </c>
      <c r="H75" s="4">
        <v>63679718</v>
      </c>
      <c r="I75" s="4">
        <v>143324597</v>
      </c>
      <c r="J75" s="27">
        <f>G75/I75</f>
        <v>0.31970723071351109</v>
      </c>
      <c r="K75" s="28">
        <f>H75/I75</f>
        <v>0.44430418318217912</v>
      </c>
      <c r="L75" s="6">
        <v>693</v>
      </c>
      <c r="M75" s="7">
        <v>0.70699999999999996</v>
      </c>
      <c r="N75" s="10">
        <v>20.3</v>
      </c>
      <c r="O75" s="6">
        <v>82</v>
      </c>
      <c r="P75" s="10">
        <v>3.73</v>
      </c>
      <c r="Q75" s="6">
        <v>92</v>
      </c>
      <c r="R75" s="10">
        <v>3.91</v>
      </c>
      <c r="S75" s="6">
        <v>97</v>
      </c>
      <c r="T75" s="5">
        <f t="shared" si="1"/>
        <v>0.50617283950617287</v>
      </c>
    </row>
    <row r="76" spans="1:20" x14ac:dyDescent="0.2">
      <c r="A76" s="26">
        <v>2017</v>
      </c>
      <c r="B76" s="3" t="s">
        <v>22</v>
      </c>
      <c r="C76" s="4">
        <v>4528113</v>
      </c>
      <c r="D76" s="4">
        <v>12186788</v>
      </c>
      <c r="E76" s="4">
        <v>9041369</v>
      </c>
      <c r="F76" s="4">
        <v>4879808</v>
      </c>
      <c r="G76" s="4">
        <f>SUM(B76:F76)</f>
        <v>30636078</v>
      </c>
      <c r="H76" s="4">
        <v>51008697</v>
      </c>
      <c r="I76" s="4">
        <v>102619475</v>
      </c>
      <c r="J76" s="27">
        <f>G76/I76</f>
        <v>0.29854058403631473</v>
      </c>
      <c r="K76" s="28">
        <f>H76/I76</f>
        <v>0.49706643889963381</v>
      </c>
      <c r="L76" s="6">
        <v>812</v>
      </c>
      <c r="M76" s="7">
        <v>0.77400000000000002</v>
      </c>
      <c r="N76" s="10">
        <v>19.7</v>
      </c>
      <c r="O76" s="6">
        <v>93</v>
      </c>
      <c r="P76" s="10">
        <v>3.67</v>
      </c>
      <c r="Q76" s="6">
        <v>80</v>
      </c>
      <c r="R76" s="10">
        <v>3.8</v>
      </c>
      <c r="S76" s="6">
        <v>87</v>
      </c>
      <c r="T76" s="5">
        <f t="shared" si="1"/>
        <v>0.57407407407407407</v>
      </c>
    </row>
    <row r="77" spans="1:20" x14ac:dyDescent="0.2">
      <c r="A77" s="26">
        <v>2016</v>
      </c>
      <c r="B77" s="3" t="s">
        <v>22</v>
      </c>
      <c r="C77" s="4">
        <v>4215900</v>
      </c>
      <c r="D77" s="4">
        <f>5850000+2600000+520300+1052100+2013900</f>
        <v>12036300</v>
      </c>
      <c r="E77" s="4">
        <f>508900+4008500+8029600</f>
        <v>12547000</v>
      </c>
      <c r="F77" s="4">
        <v>0</v>
      </c>
      <c r="G77" s="4">
        <f>SUM(B77:F77)</f>
        <v>28799200</v>
      </c>
      <c r="H77" s="4">
        <f>43746000+18961500</f>
        <v>62707500</v>
      </c>
      <c r="I77" s="4">
        <v>98172683</v>
      </c>
      <c r="J77" s="27">
        <f>G77/I77</f>
        <v>0.29335247973206557</v>
      </c>
      <c r="K77" s="28">
        <f>H77/I77</f>
        <v>0.6387469312619275</v>
      </c>
      <c r="L77" s="6">
        <v>752</v>
      </c>
      <c r="M77" s="7">
        <v>0.752</v>
      </c>
      <c r="N77" s="10">
        <v>15.6</v>
      </c>
      <c r="O77" s="6">
        <v>69</v>
      </c>
      <c r="P77" s="10">
        <v>5.09</v>
      </c>
      <c r="Q77" s="6">
        <v>116</v>
      </c>
      <c r="R77" s="10">
        <v>4.5</v>
      </c>
      <c r="S77" s="6">
        <v>108</v>
      </c>
      <c r="T77" s="5">
        <f t="shared" si="1"/>
        <v>0.42592592592592593</v>
      </c>
    </row>
    <row r="78" spans="1:20" x14ac:dyDescent="0.2">
      <c r="A78" s="26">
        <v>2015</v>
      </c>
      <c r="B78" s="3" t="s">
        <v>22</v>
      </c>
      <c r="C78" s="4">
        <v>2922000</v>
      </c>
      <c r="D78" s="4">
        <f>3100000+12512500+508500+508500+3275000</f>
        <v>19904500</v>
      </c>
      <c r="E78" s="4">
        <f>512000+519500+12913000</f>
        <v>13944500</v>
      </c>
      <c r="F78" s="4">
        <v>0</v>
      </c>
      <c r="G78" s="4">
        <f>SUM(B78:F78)</f>
        <v>36771000</v>
      </c>
      <c r="H78" s="4">
        <v>25616000</v>
      </c>
      <c r="I78" s="4">
        <v>88187000</v>
      </c>
      <c r="J78" s="27">
        <f>G78/I78</f>
        <v>0.41696621951081225</v>
      </c>
      <c r="K78" s="29">
        <f>H78/I78</f>
        <v>0.29047365257917834</v>
      </c>
      <c r="L78" s="6">
        <v>720</v>
      </c>
      <c r="M78" s="7">
        <v>0.73799999999999999</v>
      </c>
      <c r="N78" s="10">
        <v>21.6</v>
      </c>
      <c r="O78" s="6">
        <v>79</v>
      </c>
      <c r="P78" s="10">
        <v>4.05</v>
      </c>
      <c r="Q78" s="6">
        <v>98</v>
      </c>
      <c r="R78" s="10">
        <v>4.21</v>
      </c>
      <c r="S78" s="6">
        <v>107</v>
      </c>
      <c r="T78" s="5">
        <f t="shared" si="1"/>
        <v>0.48765432098765432</v>
      </c>
    </row>
    <row r="79" spans="1:20" x14ac:dyDescent="0.2">
      <c r="A79" s="26">
        <v>2014</v>
      </c>
      <c r="B79" s="3" t="s">
        <v>22</v>
      </c>
      <c r="C79" s="4">
        <v>10540251</v>
      </c>
      <c r="D79" s="4">
        <v>17305778</v>
      </c>
      <c r="E79" s="4">
        <v>11732682</v>
      </c>
      <c r="F79" s="4">
        <v>4800000</v>
      </c>
      <c r="G79" s="4">
        <f>SUM(B79:F79)</f>
        <v>44378711</v>
      </c>
      <c r="H79" s="4">
        <v>24136206</v>
      </c>
      <c r="I79" s="4">
        <v>106482519</v>
      </c>
      <c r="J79" s="27">
        <f>G79/I79</f>
        <v>0.41676992070407348</v>
      </c>
      <c r="K79" s="29">
        <f>H79/I79</f>
        <v>0.22666824777126093</v>
      </c>
      <c r="L79" s="6">
        <v>615</v>
      </c>
      <c r="M79" s="7">
        <v>0.67800000000000005</v>
      </c>
      <c r="N79" s="10">
        <v>13</v>
      </c>
      <c r="O79" s="6">
        <v>64</v>
      </c>
      <c r="P79" s="10">
        <v>4.26</v>
      </c>
      <c r="Q79" s="6">
        <v>111</v>
      </c>
      <c r="R79" s="10">
        <v>3.83</v>
      </c>
      <c r="S79" s="6">
        <v>103</v>
      </c>
      <c r="T79" s="5">
        <f t="shared" si="1"/>
        <v>0.39506172839506171</v>
      </c>
    </row>
    <row r="80" spans="1:20" x14ac:dyDescent="0.2">
      <c r="A80" s="26">
        <v>2013</v>
      </c>
      <c r="B80" s="3" t="s">
        <v>22</v>
      </c>
      <c r="C80" s="4">
        <v>10941912</v>
      </c>
      <c r="D80" s="4">
        <v>20510780</v>
      </c>
      <c r="E80" s="4">
        <v>9332000</v>
      </c>
      <c r="F80" s="4">
        <v>133879</v>
      </c>
      <c r="G80" s="4">
        <f>SUM(B80:F80)</f>
        <v>40918571</v>
      </c>
      <c r="H80" s="4">
        <v>37207472</v>
      </c>
      <c r="I80" s="4">
        <v>88316478</v>
      </c>
      <c r="J80" s="27">
        <f>G80/I80</f>
        <v>0.46331751363545093</v>
      </c>
      <c r="K80" s="29">
        <f>H80/I80</f>
        <v>0.42129705398804512</v>
      </c>
      <c r="L80" s="6">
        <v>685</v>
      </c>
      <c r="M80" s="7">
        <v>0.71499999999999997</v>
      </c>
      <c r="N80" s="10">
        <v>19.399999999999999</v>
      </c>
      <c r="O80" s="6">
        <v>81</v>
      </c>
      <c r="P80" s="10">
        <v>3.92</v>
      </c>
      <c r="Q80" s="6">
        <v>101</v>
      </c>
      <c r="R80" s="10">
        <v>4.04</v>
      </c>
      <c r="S80" s="6">
        <v>107</v>
      </c>
      <c r="T80" s="5">
        <f t="shared" si="1"/>
        <v>0.5</v>
      </c>
    </row>
    <row r="81" spans="1:20" x14ac:dyDescent="0.2">
      <c r="A81" s="26">
        <v>2012</v>
      </c>
      <c r="B81" s="3" t="s">
        <v>22</v>
      </c>
      <c r="C81" s="4">
        <v>7997213</v>
      </c>
      <c r="D81" s="4">
        <v>15664500</v>
      </c>
      <c r="E81" s="4">
        <v>23120333</v>
      </c>
      <c r="F81" s="4">
        <v>0</v>
      </c>
      <c r="G81" s="4">
        <f>SUM(B81:F81)</f>
        <v>46782046</v>
      </c>
      <c r="H81" s="4">
        <v>26657213</v>
      </c>
      <c r="I81" s="4">
        <v>82959205</v>
      </c>
      <c r="J81" s="27">
        <f>G81/I81</f>
        <v>0.56391627668080957</v>
      </c>
      <c r="K81" s="29">
        <f>H81/I81</f>
        <v>0.32132917618967055</v>
      </c>
      <c r="L81" s="6">
        <v>734</v>
      </c>
      <c r="M81" s="7">
        <v>0.746</v>
      </c>
      <c r="N81" s="10">
        <v>21.8</v>
      </c>
      <c r="O81" s="6">
        <v>81</v>
      </c>
      <c r="P81" s="10">
        <v>3.94</v>
      </c>
      <c r="Q81" s="6">
        <v>96</v>
      </c>
      <c r="R81" s="10">
        <v>3.81</v>
      </c>
      <c r="S81" s="6">
        <v>97</v>
      </c>
      <c r="T81" s="5">
        <f t="shared" si="1"/>
        <v>0.5</v>
      </c>
    </row>
    <row r="82" spans="1:20" x14ac:dyDescent="0.2">
      <c r="A82" s="26">
        <v>2011</v>
      </c>
      <c r="B82" s="3" t="s">
        <v>22</v>
      </c>
      <c r="C82" s="4">
        <v>4614000</v>
      </c>
      <c r="D82" s="4">
        <v>19498483</v>
      </c>
      <c r="E82" s="4">
        <v>10676201</v>
      </c>
      <c r="F82" s="4">
        <v>0</v>
      </c>
      <c r="G82" s="4">
        <f>SUM(B82:F82)</f>
        <v>34788684</v>
      </c>
      <c r="H82" s="4">
        <v>23141836</v>
      </c>
      <c r="I82" s="4">
        <v>65784971</v>
      </c>
      <c r="J82" s="27">
        <f>G82/I82</f>
        <v>0.52882418995061953</v>
      </c>
      <c r="K82" s="29">
        <f>H82/I82</f>
        <v>0.35177998330348126</v>
      </c>
      <c r="L82" s="6">
        <v>731</v>
      </c>
      <c r="M82" s="7">
        <v>0.73599999999999999</v>
      </c>
      <c r="N82" s="10">
        <v>30.5</v>
      </c>
      <c r="O82" s="6">
        <v>94</v>
      </c>
      <c r="P82" s="10">
        <v>3.8</v>
      </c>
      <c r="Q82" s="6">
        <v>95</v>
      </c>
      <c r="R82" s="10">
        <v>4.0199999999999996</v>
      </c>
      <c r="S82" s="6">
        <v>104</v>
      </c>
      <c r="T82" s="5">
        <f t="shared" si="1"/>
        <v>0.58024691358024694</v>
      </c>
    </row>
    <row r="83" spans="1:20" x14ac:dyDescent="0.2">
      <c r="A83" s="26">
        <v>2019</v>
      </c>
      <c r="B83" s="2" t="s">
        <v>0</v>
      </c>
      <c r="C83" s="4">
        <v>4292990</v>
      </c>
      <c r="D83" s="4">
        <v>35004336</v>
      </c>
      <c r="E83" s="4">
        <v>13330000</v>
      </c>
      <c r="F83" s="4">
        <v>0</v>
      </c>
      <c r="G83" s="4">
        <f>SUM(B83:F83)</f>
        <v>52627326</v>
      </c>
      <c r="H83" s="4">
        <v>104767296</v>
      </c>
      <c r="I83" s="4">
        <v>207000814</v>
      </c>
      <c r="J83" s="27">
        <f>G83/I83</f>
        <v>0.25423729010070462</v>
      </c>
      <c r="K83" s="28">
        <f>H83/I83</f>
        <v>0.50612021264805263</v>
      </c>
      <c r="L83" s="6">
        <v>886</v>
      </c>
      <c r="M83" s="7">
        <v>0.81</v>
      </c>
      <c r="N83" s="10">
        <v>34.799999999999997</v>
      </c>
      <c r="O83" s="6">
        <v>106</v>
      </c>
      <c r="P83" s="10">
        <v>3.39</v>
      </c>
      <c r="Q83" s="6">
        <v>81</v>
      </c>
      <c r="R83" s="10">
        <v>3.73</v>
      </c>
      <c r="S83" s="6">
        <v>85</v>
      </c>
      <c r="T83" s="5">
        <f t="shared" si="1"/>
        <v>0.65432098765432101</v>
      </c>
    </row>
    <row r="84" spans="1:20" x14ac:dyDescent="0.2">
      <c r="A84" s="26">
        <v>2018</v>
      </c>
      <c r="B84" s="2" t="s">
        <v>0</v>
      </c>
      <c r="C84" s="4">
        <v>8777300</v>
      </c>
      <c r="D84" s="4">
        <v>24820501</v>
      </c>
      <c r="E84" s="4">
        <v>31674339</v>
      </c>
      <c r="F84" s="4">
        <v>0</v>
      </c>
      <c r="G84" s="4">
        <f>SUM(B84:F84)</f>
        <v>65272140</v>
      </c>
      <c r="H84" s="4">
        <v>95230456</v>
      </c>
      <c r="I84" s="4">
        <v>199582045</v>
      </c>
      <c r="J84" s="27">
        <f>G84/I84</f>
        <v>0.32704414868581994</v>
      </c>
      <c r="K84" s="28">
        <f>H84/I84</f>
        <v>0.47714941491856144</v>
      </c>
      <c r="L84" s="6">
        <v>804</v>
      </c>
      <c r="M84" s="7">
        <v>0.77400000000000002</v>
      </c>
      <c r="N84" s="10">
        <v>34.799999999999997</v>
      </c>
      <c r="O84" s="6">
        <v>92</v>
      </c>
      <c r="P84" s="10">
        <v>3.4</v>
      </c>
      <c r="Q84" s="6">
        <v>88</v>
      </c>
      <c r="R84" s="10">
        <v>3.6</v>
      </c>
      <c r="S84" s="6">
        <v>90</v>
      </c>
      <c r="T84" s="5">
        <f t="shared" si="1"/>
        <v>0.5679012345679012</v>
      </c>
    </row>
    <row r="85" spans="1:20" x14ac:dyDescent="0.2">
      <c r="A85" s="26">
        <v>2017</v>
      </c>
      <c r="B85" s="2" t="s">
        <v>0</v>
      </c>
      <c r="C85" s="4">
        <v>6107229</v>
      </c>
      <c r="D85" s="4">
        <v>46195745</v>
      </c>
      <c r="E85" s="4">
        <v>31124566</v>
      </c>
      <c r="F85" s="4">
        <v>0</v>
      </c>
      <c r="G85" s="4">
        <f>SUM(B85:F85)</f>
        <v>83427540</v>
      </c>
      <c r="H85" s="4">
        <v>100856551</v>
      </c>
      <c r="I85" s="4">
        <v>259119625</v>
      </c>
      <c r="J85" s="27">
        <f>G85/I85</f>
        <v>0.32196534708631197</v>
      </c>
      <c r="K85" s="28">
        <f>H85/I85</f>
        <v>0.3892277591865147</v>
      </c>
      <c r="L85" s="6">
        <v>770</v>
      </c>
      <c r="M85" s="7">
        <v>0.77100000000000002</v>
      </c>
      <c r="N85" s="10">
        <v>33.299999999999997</v>
      </c>
      <c r="O85" s="6">
        <v>104</v>
      </c>
      <c r="P85" s="10">
        <v>3.38</v>
      </c>
      <c r="Q85" s="6">
        <v>82</v>
      </c>
      <c r="R85" s="10">
        <v>3.67</v>
      </c>
      <c r="S85" s="6">
        <v>86</v>
      </c>
      <c r="T85" s="5">
        <f t="shared" si="1"/>
        <v>0.64197530864197527</v>
      </c>
    </row>
    <row r="86" spans="1:20" x14ac:dyDescent="0.2">
      <c r="A86" s="26">
        <v>2016</v>
      </c>
      <c r="B86" s="2" t="s">
        <v>0</v>
      </c>
      <c r="C86" s="4">
        <f>4500000+2800000+512500</f>
        <v>7812500</v>
      </c>
      <c r="D86" s="4">
        <f>21857143+7000000+5100000+535000+510000+520000</f>
        <v>35522143</v>
      </c>
      <c r="E86" s="4">
        <f>520000+512500+21607143+10000000+1225000+18000000</f>
        <v>51864643</v>
      </c>
      <c r="F86" s="4">
        <v>0</v>
      </c>
      <c r="G86" s="4">
        <f>SUM(B86:F86)</f>
        <v>95199286</v>
      </c>
      <c r="H86" s="4">
        <f>87541429+26150000</f>
        <v>113691429</v>
      </c>
      <c r="I86" s="4">
        <v>250031669</v>
      </c>
      <c r="J86" s="27">
        <f>G86/I86</f>
        <v>0.38074891225079172</v>
      </c>
      <c r="K86" s="29">
        <f>H86/I86</f>
        <v>0.45470811539477424</v>
      </c>
      <c r="L86" s="6">
        <v>725</v>
      </c>
      <c r="M86" s="7">
        <v>0.72799999999999998</v>
      </c>
      <c r="N86" s="10">
        <v>25.5</v>
      </c>
      <c r="O86" s="6">
        <v>91</v>
      </c>
      <c r="P86" s="10">
        <v>3.7</v>
      </c>
      <c r="Q86" s="6">
        <v>93</v>
      </c>
      <c r="R86" s="10">
        <v>3.61</v>
      </c>
      <c r="S86" s="6">
        <v>89</v>
      </c>
      <c r="T86" s="5">
        <f t="shared" si="1"/>
        <v>0.56172839506172845</v>
      </c>
    </row>
    <row r="87" spans="1:20" x14ac:dyDescent="0.2">
      <c r="A87" s="26">
        <v>2015</v>
      </c>
      <c r="B87" s="2" t="s">
        <v>0</v>
      </c>
      <c r="C87" s="4">
        <v>5106620</v>
      </c>
      <c r="D87" s="4">
        <v>39887043</v>
      </c>
      <c r="E87" s="4">
        <v>64033761</v>
      </c>
      <c r="F87" s="4">
        <v>0</v>
      </c>
      <c r="G87" s="4">
        <f>SUM(B87:F87)</f>
        <v>109027424</v>
      </c>
      <c r="H87" s="4">
        <v>90950264</v>
      </c>
      <c r="I87" s="4">
        <v>302735080</v>
      </c>
      <c r="J87" s="27">
        <f>G87/I87</f>
        <v>0.36014136187983237</v>
      </c>
      <c r="K87" s="29">
        <f>H87/I87</f>
        <v>0.3004285595181107</v>
      </c>
      <c r="L87" s="6">
        <v>667</v>
      </c>
      <c r="M87" s="7">
        <v>0.73899999999999999</v>
      </c>
      <c r="N87" s="10">
        <v>29</v>
      </c>
      <c r="O87" s="6">
        <v>92</v>
      </c>
      <c r="P87" s="10">
        <v>3.46</v>
      </c>
      <c r="Q87" s="6">
        <v>92</v>
      </c>
      <c r="R87" s="10">
        <v>3.41</v>
      </c>
      <c r="S87" s="6">
        <v>89</v>
      </c>
      <c r="T87" s="5">
        <f t="shared" si="1"/>
        <v>0.5679012345679012</v>
      </c>
    </row>
    <row r="88" spans="1:20" x14ac:dyDescent="0.2">
      <c r="A88" s="26">
        <v>2014</v>
      </c>
      <c r="B88" s="2" t="s">
        <v>0</v>
      </c>
      <c r="C88" s="4">
        <v>4250000</v>
      </c>
      <c r="D88" s="4">
        <v>32776513</v>
      </c>
      <c r="E88" s="4">
        <v>68641768</v>
      </c>
      <c r="F88" s="4">
        <v>16000000</v>
      </c>
      <c r="G88" s="4">
        <f>SUM(B88:F88)</f>
        <v>121668281</v>
      </c>
      <c r="H88" s="4">
        <v>112398861</v>
      </c>
      <c r="I88" s="4">
        <v>246367142</v>
      </c>
      <c r="J88" s="27">
        <f>G88/I88</f>
        <v>0.49384946390294204</v>
      </c>
      <c r="K88" s="29">
        <f>H88/I88</f>
        <v>0.45622504725082214</v>
      </c>
      <c r="L88" s="6">
        <v>718</v>
      </c>
      <c r="M88" s="7">
        <v>0.73799999999999999</v>
      </c>
      <c r="N88" s="10">
        <v>31.8</v>
      </c>
      <c r="O88" s="6">
        <v>94</v>
      </c>
      <c r="P88" s="10">
        <v>3.4</v>
      </c>
      <c r="Q88" s="6">
        <v>98</v>
      </c>
      <c r="R88" s="10">
        <v>3.48</v>
      </c>
      <c r="S88" s="6">
        <v>96</v>
      </c>
      <c r="T88" s="5">
        <f t="shared" si="1"/>
        <v>0.58024691358024694</v>
      </c>
    </row>
    <row r="89" spans="1:20" x14ac:dyDescent="0.2">
      <c r="A89" s="26">
        <v>2013</v>
      </c>
      <c r="B89" s="2" t="s">
        <v>0</v>
      </c>
      <c r="C89" s="4">
        <v>5844983</v>
      </c>
      <c r="D89" s="4">
        <v>36749021</v>
      </c>
      <c r="E89" s="4">
        <v>63903448</v>
      </c>
      <c r="F89" s="4">
        <v>15500000</v>
      </c>
      <c r="G89" s="4">
        <f>SUM(B89:F89)</f>
        <v>121997452</v>
      </c>
      <c r="H89" s="4">
        <v>85347307</v>
      </c>
      <c r="I89" s="4">
        <v>239894375</v>
      </c>
      <c r="J89" s="27">
        <f>G89/I89</f>
        <v>0.50854653011351347</v>
      </c>
      <c r="K89" s="29">
        <f>H89/I89</f>
        <v>0.35577035518235889</v>
      </c>
      <c r="L89" s="6">
        <v>649</v>
      </c>
      <c r="M89" s="7">
        <v>0.72199999999999998</v>
      </c>
      <c r="N89" s="10">
        <v>25.5</v>
      </c>
      <c r="O89" s="6">
        <v>92</v>
      </c>
      <c r="P89" s="10">
        <v>3.25</v>
      </c>
      <c r="Q89" s="6">
        <v>91</v>
      </c>
      <c r="R89" s="10">
        <v>3.45</v>
      </c>
      <c r="S89" s="6">
        <v>92</v>
      </c>
      <c r="T89" s="5">
        <f t="shared" si="1"/>
        <v>0.5679012345679012</v>
      </c>
    </row>
    <row r="90" spans="1:20" x14ac:dyDescent="0.2">
      <c r="A90" s="26">
        <v>2012</v>
      </c>
      <c r="B90" s="2" t="s">
        <v>0</v>
      </c>
      <c r="C90" s="4">
        <v>1820000</v>
      </c>
      <c r="D90" s="4">
        <v>19601500</v>
      </c>
      <c r="E90" s="4">
        <v>36749912</v>
      </c>
      <c r="F90" s="4">
        <v>5819672</v>
      </c>
      <c r="G90" s="4">
        <f>SUM(B90:F90)</f>
        <v>63991084</v>
      </c>
      <c r="H90" s="4">
        <v>48961633</v>
      </c>
      <c r="I90" s="4">
        <v>120784717</v>
      </c>
      <c r="J90" s="27">
        <f>G90/I90</f>
        <v>0.52979454346032873</v>
      </c>
      <c r="K90" s="29">
        <f>H90/I90</f>
        <v>0.40536281589333856</v>
      </c>
      <c r="L90" s="6">
        <v>637</v>
      </c>
      <c r="M90" s="7">
        <v>0.69</v>
      </c>
      <c r="N90" s="10">
        <v>13.8</v>
      </c>
      <c r="O90" s="6">
        <v>86</v>
      </c>
      <c r="P90" s="10">
        <v>3.35</v>
      </c>
      <c r="Q90" s="6">
        <v>88</v>
      </c>
      <c r="R90" s="10">
        <v>3.64</v>
      </c>
      <c r="S90" s="6">
        <v>93</v>
      </c>
      <c r="T90" s="5">
        <f t="shared" si="1"/>
        <v>0.53086419753086422</v>
      </c>
    </row>
    <row r="91" spans="1:20" x14ac:dyDescent="0.2">
      <c r="A91" s="26">
        <v>2011</v>
      </c>
      <c r="B91" s="2" t="s">
        <v>0</v>
      </c>
      <c r="C91" s="4">
        <v>2530000</v>
      </c>
      <c r="D91" s="4">
        <v>10003667</v>
      </c>
      <c r="E91" s="4">
        <v>51516292</v>
      </c>
      <c r="F91" s="4">
        <v>3389000</v>
      </c>
      <c r="G91" s="4">
        <f>SUM(B91:F91)</f>
        <v>67438959</v>
      </c>
      <c r="H91" s="4">
        <v>66175000</v>
      </c>
      <c r="I91" s="4">
        <v>146648559</v>
      </c>
      <c r="J91" s="27">
        <f>G91/I91</f>
        <v>0.45986786000399771</v>
      </c>
      <c r="K91" s="29">
        <f>H91/I91</f>
        <v>0.45124889362192777</v>
      </c>
      <c r="L91" s="6">
        <v>644</v>
      </c>
      <c r="M91" s="7">
        <v>0.69699999999999995</v>
      </c>
      <c r="N91" s="10">
        <v>19.600000000000001</v>
      </c>
      <c r="O91" s="6">
        <v>82</v>
      </c>
      <c r="P91" s="10">
        <v>3.56</v>
      </c>
      <c r="Q91" s="6">
        <v>98</v>
      </c>
      <c r="R91" s="10">
        <v>3.61</v>
      </c>
      <c r="S91" s="6">
        <v>95</v>
      </c>
      <c r="T91" s="5">
        <f t="shared" si="1"/>
        <v>0.50617283950617287</v>
      </c>
    </row>
    <row r="92" spans="1:20" x14ac:dyDescent="0.2">
      <c r="A92" s="26">
        <v>2019</v>
      </c>
      <c r="B92" s="3" t="s">
        <v>3</v>
      </c>
      <c r="C92" s="4">
        <v>22774577</v>
      </c>
      <c r="D92" s="4">
        <v>45592288</v>
      </c>
      <c r="E92" s="4">
        <v>7423024</v>
      </c>
      <c r="F92" s="4">
        <v>0</v>
      </c>
      <c r="G92" s="4">
        <f>SUM(B92:F92)</f>
        <v>75789889</v>
      </c>
      <c r="H92" s="4">
        <v>61229335</v>
      </c>
      <c r="I92" s="4">
        <v>178582126</v>
      </c>
      <c r="J92" s="27">
        <f>G92/I92</f>
        <v>0.42439795458589175</v>
      </c>
      <c r="K92" s="28">
        <f>H92/I92</f>
        <v>0.34286373654214419</v>
      </c>
      <c r="L92" s="8">
        <v>678</v>
      </c>
      <c r="M92" s="9">
        <v>0.69399999999999995</v>
      </c>
      <c r="N92" s="14">
        <v>10</v>
      </c>
      <c r="O92" s="8">
        <v>77</v>
      </c>
      <c r="P92" s="14">
        <v>4.38</v>
      </c>
      <c r="Q92" s="8">
        <v>104</v>
      </c>
      <c r="R92" s="14">
        <v>4.55</v>
      </c>
      <c r="S92" s="8">
        <v>109</v>
      </c>
      <c r="T92" s="5">
        <f t="shared" si="1"/>
        <v>0.47530864197530864</v>
      </c>
    </row>
    <row r="93" spans="1:20" x14ac:dyDescent="0.2">
      <c r="A93" s="26">
        <v>2018</v>
      </c>
      <c r="B93" s="3" t="s">
        <v>3</v>
      </c>
      <c r="C93" s="4">
        <v>2605480</v>
      </c>
      <c r="D93" s="4">
        <v>49142250</v>
      </c>
      <c r="E93" s="4">
        <v>19549488</v>
      </c>
      <c r="F93" s="4">
        <v>0</v>
      </c>
      <c r="G93" s="4">
        <f>SUM(B93:F93)</f>
        <v>71297218</v>
      </c>
      <c r="H93" s="4">
        <v>48392000</v>
      </c>
      <c r="I93" s="4">
        <v>205665348</v>
      </c>
      <c r="J93" s="27">
        <f>G93/I93</f>
        <v>0.34666616760349928</v>
      </c>
      <c r="K93" s="28">
        <f>H93/I93</f>
        <v>0.23529486357614313</v>
      </c>
      <c r="L93" s="8">
        <v>603</v>
      </c>
      <c r="M93" s="9">
        <v>0.66700000000000004</v>
      </c>
      <c r="N93" s="14">
        <v>7</v>
      </c>
      <c r="O93" s="8">
        <v>73</v>
      </c>
      <c r="P93" s="14">
        <v>3.95</v>
      </c>
      <c r="Q93" s="8">
        <v>103</v>
      </c>
      <c r="R93" s="14">
        <v>3.98</v>
      </c>
      <c r="S93" s="8">
        <v>104</v>
      </c>
      <c r="T93" s="5">
        <f t="shared" si="1"/>
        <v>0.45061728395061729</v>
      </c>
    </row>
    <row r="94" spans="1:20" x14ac:dyDescent="0.2">
      <c r="A94" s="26">
        <v>2017</v>
      </c>
      <c r="B94" s="3" t="s">
        <v>3</v>
      </c>
      <c r="C94" s="4">
        <v>24288851</v>
      </c>
      <c r="D94" s="4">
        <v>9727081</v>
      </c>
      <c r="E94" s="4">
        <v>34026115</v>
      </c>
      <c r="F94" s="4">
        <v>0</v>
      </c>
      <c r="G94" s="4">
        <f>SUM(B94:F94)</f>
        <v>68042047</v>
      </c>
      <c r="H94" s="4">
        <v>103750737</v>
      </c>
      <c r="I94" s="4">
        <v>189806809</v>
      </c>
      <c r="J94" s="27">
        <f>G94/I94</f>
        <v>0.35848053796636981</v>
      </c>
      <c r="K94" s="28">
        <f>H94/I94</f>
        <v>0.5466123030391391</v>
      </c>
      <c r="L94" s="8">
        <v>639</v>
      </c>
      <c r="M94" s="9">
        <v>0.68899999999999995</v>
      </c>
      <c r="N94" s="14">
        <v>10.5</v>
      </c>
      <c r="O94" s="8">
        <v>64</v>
      </c>
      <c r="P94" s="14">
        <v>4.5</v>
      </c>
      <c r="Q94" s="8">
        <v>108</v>
      </c>
      <c r="R94" s="14">
        <v>4.22</v>
      </c>
      <c r="S94" s="8">
        <v>103</v>
      </c>
      <c r="T94" s="5">
        <f t="shared" si="1"/>
        <v>0.39506172839506171</v>
      </c>
    </row>
    <row r="95" spans="1:20" x14ac:dyDescent="0.2">
      <c r="A95" s="26">
        <v>2016</v>
      </c>
      <c r="B95" s="3" t="s">
        <v>3</v>
      </c>
      <c r="C95" s="4">
        <v>21377415</v>
      </c>
      <c r="D95" s="4">
        <v>15051491</v>
      </c>
      <c r="E95" s="4">
        <v>39054858</v>
      </c>
      <c r="F95" s="4">
        <v>0</v>
      </c>
      <c r="G95" s="4">
        <f>SUM(B95:F95)</f>
        <v>75483764</v>
      </c>
      <c r="H95" s="4">
        <v>100693268</v>
      </c>
      <c r="I95" s="4">
        <v>178326844</v>
      </c>
      <c r="J95" s="27">
        <f>G95/I95</f>
        <v>0.42328884595748245</v>
      </c>
      <c r="K95" s="29">
        <f>H95/I95</f>
        <v>0.56465569479825484</v>
      </c>
      <c r="L95" s="6">
        <v>715</v>
      </c>
      <c r="M95" s="7">
        <v>0.72799999999999998</v>
      </c>
      <c r="N95" s="10">
        <v>25.9</v>
      </c>
      <c r="O95" s="6">
        <v>87</v>
      </c>
      <c r="P95" s="10">
        <v>3.69</v>
      </c>
      <c r="Q95" s="6">
        <v>91</v>
      </c>
      <c r="R95" s="10">
        <v>3.76</v>
      </c>
      <c r="S95" s="6">
        <v>96</v>
      </c>
      <c r="T95" s="5">
        <f t="shared" si="1"/>
        <v>0.53703703703703709</v>
      </c>
    </row>
    <row r="96" spans="1:20" x14ac:dyDescent="0.2">
      <c r="A96" s="26">
        <v>2015</v>
      </c>
      <c r="B96" s="3" t="s">
        <v>3</v>
      </c>
      <c r="C96" s="4">
        <v>17472025</v>
      </c>
      <c r="D96" s="4">
        <v>7864727</v>
      </c>
      <c r="E96" s="4">
        <v>26270395</v>
      </c>
      <c r="F96" s="4">
        <v>0</v>
      </c>
      <c r="G96" s="4">
        <f>SUM(B96:F96)</f>
        <v>51607147</v>
      </c>
      <c r="H96" s="4">
        <v>81502238</v>
      </c>
      <c r="I96" s="4">
        <v>186413630</v>
      </c>
      <c r="J96" s="27">
        <f>G96/I96</f>
        <v>0.2768421332710489</v>
      </c>
      <c r="K96" s="29">
        <f>H96/I96</f>
        <v>0.4372117961546052</v>
      </c>
      <c r="L96" s="6">
        <v>696</v>
      </c>
      <c r="M96" s="7">
        <v>0.73199999999999998</v>
      </c>
      <c r="N96" s="10">
        <v>29.5</v>
      </c>
      <c r="O96" s="6">
        <v>84</v>
      </c>
      <c r="P96" s="10">
        <v>3.73</v>
      </c>
      <c r="Q96" s="6">
        <v>100</v>
      </c>
      <c r="R96" s="10">
        <v>3.92</v>
      </c>
      <c r="S96" s="6">
        <v>106</v>
      </c>
      <c r="T96" s="5">
        <f t="shared" si="1"/>
        <v>0.51851851851851849</v>
      </c>
    </row>
    <row r="97" spans="1:20" x14ac:dyDescent="0.2">
      <c r="A97" s="26">
        <v>2014</v>
      </c>
      <c r="B97" s="3" t="s">
        <v>3</v>
      </c>
      <c r="C97" s="4">
        <v>12017372</v>
      </c>
      <c r="D97" s="4">
        <v>20940142</v>
      </c>
      <c r="E97" s="4">
        <v>35431785</v>
      </c>
      <c r="F97" s="4">
        <v>0</v>
      </c>
      <c r="G97" s="4">
        <f>SUM(B97:F97)</f>
        <v>68389299</v>
      </c>
      <c r="H97" s="4">
        <v>84346034</v>
      </c>
      <c r="I97" s="4">
        <v>160336782</v>
      </c>
      <c r="J97" s="27">
        <f>G97/I97</f>
        <v>0.42653530990786631</v>
      </c>
      <c r="K97" s="29">
        <f>H97/I97</f>
        <v>0.52605542501158598</v>
      </c>
      <c r="L97" s="6">
        <v>665</v>
      </c>
      <c r="M97" s="7">
        <v>0.69899999999999995</v>
      </c>
      <c r="N97" s="10">
        <v>25.4</v>
      </c>
      <c r="O97" s="6">
        <v>88</v>
      </c>
      <c r="P97" s="10">
        <v>3.5</v>
      </c>
      <c r="Q97" s="6">
        <v>101</v>
      </c>
      <c r="R97" s="10">
        <v>3.58</v>
      </c>
      <c r="S97" s="6">
        <v>102</v>
      </c>
      <c r="T97" s="5">
        <f t="shared" si="1"/>
        <v>0.54320987654320985</v>
      </c>
    </row>
    <row r="98" spans="1:20" x14ac:dyDescent="0.2">
      <c r="A98" s="26">
        <v>2013</v>
      </c>
      <c r="B98" s="3" t="s">
        <v>3</v>
      </c>
      <c r="C98" s="4">
        <v>4801478</v>
      </c>
      <c r="D98" s="4">
        <v>15049882</v>
      </c>
      <c r="E98" s="4">
        <v>23839250</v>
      </c>
      <c r="F98" s="4">
        <v>0</v>
      </c>
      <c r="G98" s="4">
        <f>SUM(B98:F98)</f>
        <v>43690610</v>
      </c>
      <c r="H98" s="4">
        <v>91692370</v>
      </c>
      <c r="I98" s="4">
        <v>140280186</v>
      </c>
      <c r="J98" s="27">
        <f>G98/I98</f>
        <v>0.31145246699344981</v>
      </c>
      <c r="K98" s="29">
        <f>H98/I98</f>
        <v>0.65363735688231839</v>
      </c>
      <c r="L98" s="6">
        <v>629</v>
      </c>
      <c r="M98" s="7">
        <v>0.70199999999999996</v>
      </c>
      <c r="N98" s="10">
        <v>26.9</v>
      </c>
      <c r="O98" s="6">
        <v>76</v>
      </c>
      <c r="P98" s="10">
        <v>4</v>
      </c>
      <c r="Q98" s="6">
        <v>116</v>
      </c>
      <c r="R98" s="10">
        <v>3.8</v>
      </c>
      <c r="S98" s="6">
        <v>108</v>
      </c>
      <c r="T98" s="5">
        <f t="shared" si="1"/>
        <v>0.46913580246913578</v>
      </c>
    </row>
    <row r="99" spans="1:20" x14ac:dyDescent="0.2">
      <c r="A99" s="26">
        <v>2012</v>
      </c>
      <c r="B99" s="3" t="s">
        <v>3</v>
      </c>
      <c r="C99" s="4">
        <v>1270000</v>
      </c>
      <c r="D99" s="4">
        <v>25064229</v>
      </c>
      <c r="E99" s="4">
        <v>12410066</v>
      </c>
      <c r="F99" s="4">
        <v>0</v>
      </c>
      <c r="G99" s="4">
        <f>SUM(B99:F99)</f>
        <v>38744295</v>
      </c>
      <c r="H99" s="4">
        <v>84081043</v>
      </c>
      <c r="I99" s="4">
        <v>137523205</v>
      </c>
      <c r="J99" s="27">
        <f>G99/I99</f>
        <v>0.28172914527406484</v>
      </c>
      <c r="K99" s="29">
        <f>H99/I99</f>
        <v>0.61139531324913499</v>
      </c>
      <c r="L99" s="6">
        <v>718</v>
      </c>
      <c r="M99" s="7">
        <v>0.72399999999999998</v>
      </c>
      <c r="N99" s="10">
        <v>29</v>
      </c>
      <c r="O99" s="6">
        <v>94</v>
      </c>
      <c r="P99" s="10">
        <v>3.68</v>
      </c>
      <c r="Q99" s="6">
        <v>100</v>
      </c>
      <c r="R99" s="10">
        <v>3.78</v>
      </c>
      <c r="S99" s="6">
        <v>102</v>
      </c>
      <c r="T99" s="5">
        <f t="shared" si="1"/>
        <v>0.58024691358024694</v>
      </c>
    </row>
    <row r="100" spans="1:20" x14ac:dyDescent="0.2">
      <c r="A100" s="26">
        <v>2011</v>
      </c>
      <c r="B100" s="3" t="s">
        <v>3</v>
      </c>
      <c r="C100" s="4">
        <v>1828000</v>
      </c>
      <c r="D100" s="4">
        <v>32534000</v>
      </c>
      <c r="E100" s="4">
        <v>22946500</v>
      </c>
      <c r="F100" s="4">
        <v>2368852</v>
      </c>
      <c r="G100" s="4">
        <f>SUM(B100:F100)</f>
        <v>59677352</v>
      </c>
      <c r="H100" s="4">
        <v>65204898</v>
      </c>
      <c r="I100" s="4">
        <v>125982250</v>
      </c>
      <c r="J100" s="27">
        <f>G100/I100</f>
        <v>0.47369650883358566</v>
      </c>
      <c r="K100" s="29">
        <f>H100/I100</f>
        <v>0.51757210241919005</v>
      </c>
      <c r="L100" s="6">
        <v>570</v>
      </c>
      <c r="M100" s="7">
        <v>0.67100000000000004</v>
      </c>
      <c r="N100" s="10">
        <v>18.100000000000001</v>
      </c>
      <c r="O100" s="6">
        <v>86</v>
      </c>
      <c r="P100" s="10">
        <v>3.21</v>
      </c>
      <c r="Q100" s="6">
        <v>89</v>
      </c>
      <c r="R100" s="10">
        <v>3.33</v>
      </c>
      <c r="S100" s="6">
        <v>90</v>
      </c>
      <c r="T100" s="5">
        <f t="shared" si="1"/>
        <v>0.53086419753086422</v>
      </c>
    </row>
    <row r="101" spans="1:20" x14ac:dyDescent="0.2">
      <c r="A101" s="26">
        <v>2019</v>
      </c>
      <c r="B101" s="3" t="s">
        <v>17</v>
      </c>
      <c r="C101" s="4">
        <v>3857988</v>
      </c>
      <c r="D101" s="4">
        <v>30643112</v>
      </c>
      <c r="E101" s="4">
        <v>5139332</v>
      </c>
      <c r="F101" s="4">
        <v>18333333</v>
      </c>
      <c r="G101" s="4">
        <f>SUM(B101:F101)</f>
        <v>57973765</v>
      </c>
      <c r="H101" s="4">
        <v>25764243</v>
      </c>
      <c r="I101" s="4">
        <v>107693747</v>
      </c>
      <c r="J101" s="27">
        <f>G101/I101</f>
        <v>0.53832062320201379</v>
      </c>
      <c r="K101" s="28">
        <f>H101/I101</f>
        <v>0.23923620189387598</v>
      </c>
      <c r="L101" s="8">
        <v>769</v>
      </c>
      <c r="M101" s="9">
        <v>0.75600000000000001</v>
      </c>
      <c r="N101" s="14">
        <v>19.7</v>
      </c>
      <c r="O101" s="8">
        <v>93</v>
      </c>
      <c r="P101" s="14">
        <v>3.79</v>
      </c>
      <c r="Q101" s="8">
        <v>79</v>
      </c>
      <c r="R101" s="14">
        <v>4.0599999999999996</v>
      </c>
      <c r="S101" s="8">
        <v>89</v>
      </c>
      <c r="T101" s="5">
        <f t="shared" si="1"/>
        <v>0.57407407407407407</v>
      </c>
    </row>
    <row r="102" spans="1:20" x14ac:dyDescent="0.2">
      <c r="A102" s="26">
        <v>2018</v>
      </c>
      <c r="B102" s="3" t="s">
        <v>17</v>
      </c>
      <c r="C102" s="4">
        <v>7746233</v>
      </c>
      <c r="D102" s="4">
        <v>26036932</v>
      </c>
      <c r="E102" s="4">
        <v>17448768</v>
      </c>
      <c r="F102" s="4">
        <v>18666666</v>
      </c>
      <c r="G102" s="4">
        <f>SUM(B102:F102)</f>
        <v>69898599</v>
      </c>
      <c r="H102" s="4">
        <v>53771946</v>
      </c>
      <c r="I102" s="4">
        <v>142804703</v>
      </c>
      <c r="J102" s="27">
        <f>G102/I102</f>
        <v>0.48946986710934864</v>
      </c>
      <c r="K102" s="28">
        <f>H102/I102</f>
        <v>0.37654184260304085</v>
      </c>
      <c r="L102" s="8">
        <v>818</v>
      </c>
      <c r="M102" s="9">
        <v>0.76600000000000001</v>
      </c>
      <c r="N102" s="14">
        <v>27.9</v>
      </c>
      <c r="O102" s="8">
        <v>91</v>
      </c>
      <c r="P102" s="14">
        <v>3.77</v>
      </c>
      <c r="Q102" s="8">
        <v>85</v>
      </c>
      <c r="R102" s="14">
        <v>3.79</v>
      </c>
      <c r="S102" s="8">
        <v>89</v>
      </c>
      <c r="T102" s="5">
        <f t="shared" si="1"/>
        <v>0.56172839506172845</v>
      </c>
    </row>
    <row r="103" spans="1:20" x14ac:dyDescent="0.2">
      <c r="A103" s="26">
        <v>2017</v>
      </c>
      <c r="B103" s="3" t="s">
        <v>17</v>
      </c>
      <c r="C103" s="4">
        <v>5348946</v>
      </c>
      <c r="D103" s="4">
        <v>23532883</v>
      </c>
      <c r="E103" s="4">
        <v>21074978</v>
      </c>
      <c r="F103" s="4">
        <v>14816666</v>
      </c>
      <c r="G103" s="4">
        <f>SUM(B103:F103)</f>
        <v>64773473</v>
      </c>
      <c r="H103" s="4">
        <v>50998846</v>
      </c>
      <c r="I103" s="4">
        <v>131958928</v>
      </c>
      <c r="J103" s="27">
        <f>G103/I103</f>
        <v>0.49086086088847281</v>
      </c>
      <c r="K103" s="28">
        <f>H103/I103</f>
        <v>0.38647514626672325</v>
      </c>
      <c r="L103" s="8">
        <v>818</v>
      </c>
      <c r="M103" s="9">
        <v>0.78800000000000003</v>
      </c>
      <c r="N103" s="14">
        <v>26.7</v>
      </c>
      <c r="O103" s="8">
        <v>102</v>
      </c>
      <c r="P103" s="14">
        <v>3.3</v>
      </c>
      <c r="Q103" s="8">
        <v>72</v>
      </c>
      <c r="R103" s="14">
        <v>3.33</v>
      </c>
      <c r="S103" s="8">
        <v>75</v>
      </c>
      <c r="T103" s="5">
        <f t="shared" si="1"/>
        <v>0.62962962962962965</v>
      </c>
    </row>
    <row r="104" spans="1:20" x14ac:dyDescent="0.2">
      <c r="A104" s="26">
        <v>2016</v>
      </c>
      <c r="B104" s="3" t="s">
        <v>17</v>
      </c>
      <c r="C104" s="4">
        <f>2583333+515800</f>
        <v>3099133</v>
      </c>
      <c r="D104" s="4">
        <f>7000000+6166667+4000000+518200+540300</f>
        <v>18225167</v>
      </c>
      <c r="E104" s="4">
        <f>5250000+507500+7375000+2725000+1000000+1000000</f>
        <v>17857500</v>
      </c>
      <c r="F104" s="4">
        <v>8450000</v>
      </c>
      <c r="G104" s="4">
        <f>SUM(B104:F104)</f>
        <v>47631800</v>
      </c>
      <c r="H104" s="4">
        <f>14195100+12485000</f>
        <v>26680100</v>
      </c>
      <c r="I104" s="4">
        <v>96304400</v>
      </c>
      <c r="J104" s="27">
        <f>G104/I104</f>
        <v>0.49459630089590922</v>
      </c>
      <c r="K104" s="29">
        <f>H104/I104</f>
        <v>0.27703926300355952</v>
      </c>
      <c r="L104" s="6">
        <v>777</v>
      </c>
      <c r="M104" s="7">
        <v>0.75900000000000001</v>
      </c>
      <c r="N104" s="10">
        <v>24.9</v>
      </c>
      <c r="O104" s="6">
        <v>94</v>
      </c>
      <c r="P104" s="10">
        <v>3.86</v>
      </c>
      <c r="Q104" s="6">
        <v>88</v>
      </c>
      <c r="R104" s="10">
        <v>3.91</v>
      </c>
      <c r="S104" s="6">
        <v>91</v>
      </c>
      <c r="T104" s="5">
        <f t="shared" si="1"/>
        <v>0.58024691358024694</v>
      </c>
    </row>
    <row r="105" spans="1:20" x14ac:dyDescent="0.2">
      <c r="A105" s="26">
        <v>2015</v>
      </c>
      <c r="B105" s="3" t="s">
        <v>17</v>
      </c>
      <c r="C105" s="4">
        <v>1619665</v>
      </c>
      <c r="D105" s="4">
        <v>16888526</v>
      </c>
      <c r="E105" s="4">
        <v>11097639</v>
      </c>
      <c r="F105" s="4">
        <v>0</v>
      </c>
      <c r="G105" s="4">
        <f>SUM(B105:F105)</f>
        <v>29605830</v>
      </c>
      <c r="H105" s="4">
        <v>15915147</v>
      </c>
      <c r="I105" s="4">
        <v>77404413</v>
      </c>
      <c r="J105" s="27">
        <f>G105/I105</f>
        <v>0.38248245613593118</v>
      </c>
      <c r="K105" s="29">
        <f>H105/I105</f>
        <v>0.20561033128692546</v>
      </c>
      <c r="L105" s="6">
        <v>669</v>
      </c>
      <c r="M105" s="7">
        <v>0.72499999999999998</v>
      </c>
      <c r="N105" s="10">
        <v>19.100000000000001</v>
      </c>
      <c r="O105" s="6">
        <v>81</v>
      </c>
      <c r="P105" s="10">
        <v>3.68</v>
      </c>
      <c r="Q105" s="6">
        <v>90</v>
      </c>
      <c r="R105" s="10">
        <v>3.62</v>
      </c>
      <c r="S105" s="6">
        <v>89</v>
      </c>
      <c r="T105" s="5">
        <f t="shared" si="1"/>
        <v>0.5</v>
      </c>
    </row>
    <row r="106" spans="1:20" x14ac:dyDescent="0.2">
      <c r="A106" s="26">
        <v>2014</v>
      </c>
      <c r="B106" s="3" t="s">
        <v>17</v>
      </c>
      <c r="C106" s="4">
        <v>878523</v>
      </c>
      <c r="D106" s="4">
        <v>9812785</v>
      </c>
      <c r="E106" s="4">
        <v>34069459</v>
      </c>
      <c r="F106" s="4">
        <v>5500000</v>
      </c>
      <c r="G106" s="4">
        <f>SUM(B106:F106)</f>
        <v>50260767</v>
      </c>
      <c r="H106" s="4">
        <v>9459879</v>
      </c>
      <c r="I106" s="4">
        <v>84481929</v>
      </c>
      <c r="J106" s="27">
        <f>G106/I106</f>
        <v>0.59492920669460569</v>
      </c>
      <c r="K106" s="29">
        <f>H106/I106</f>
        <v>0.11197517755542727</v>
      </c>
      <c r="L106" s="6">
        <v>669</v>
      </c>
      <c r="M106" s="7">
        <v>0.70599999999999996</v>
      </c>
      <c r="N106" s="10">
        <v>14.1</v>
      </c>
      <c r="O106" s="6">
        <v>85</v>
      </c>
      <c r="P106" s="10">
        <v>3.57</v>
      </c>
      <c r="Q106" s="6">
        <v>92</v>
      </c>
      <c r="R106" s="10">
        <v>3.42</v>
      </c>
      <c r="S106" s="6">
        <v>90</v>
      </c>
      <c r="T106" s="5">
        <f t="shared" si="1"/>
        <v>0.52469135802469136</v>
      </c>
    </row>
    <row r="107" spans="1:20" x14ac:dyDescent="0.2">
      <c r="A107" s="26">
        <v>2013</v>
      </c>
      <c r="B107" s="3" t="s">
        <v>17</v>
      </c>
      <c r="C107" s="4">
        <v>457868</v>
      </c>
      <c r="D107" s="4">
        <v>10009400</v>
      </c>
      <c r="E107" s="4">
        <v>24897671</v>
      </c>
      <c r="F107" s="4">
        <v>750000</v>
      </c>
      <c r="G107" s="4">
        <f>SUM(B107:F107)</f>
        <v>36114939</v>
      </c>
      <c r="H107" s="4">
        <v>32164526</v>
      </c>
      <c r="I107" s="4">
        <v>93008897</v>
      </c>
      <c r="J107" s="27">
        <f>G107/I107</f>
        <v>0.38829553048027221</v>
      </c>
      <c r="K107" s="29">
        <f>H107/I107</f>
        <v>0.34582203463825617</v>
      </c>
      <c r="L107" s="6">
        <v>745</v>
      </c>
      <c r="M107" s="7">
        <v>0.73699999999999999</v>
      </c>
      <c r="N107" s="10">
        <v>22.6</v>
      </c>
      <c r="O107" s="6">
        <v>92</v>
      </c>
      <c r="P107" s="10">
        <v>3.82</v>
      </c>
      <c r="Q107" s="6">
        <v>96</v>
      </c>
      <c r="R107" s="10">
        <v>3.73</v>
      </c>
      <c r="S107" s="6">
        <v>94</v>
      </c>
      <c r="T107" s="5">
        <f t="shared" si="1"/>
        <v>0.5679012345679012</v>
      </c>
    </row>
    <row r="108" spans="1:20" x14ac:dyDescent="0.2">
      <c r="A108" s="26">
        <v>2012</v>
      </c>
      <c r="B108" s="3" t="s">
        <v>17</v>
      </c>
      <c r="C108" s="4">
        <v>1451700</v>
      </c>
      <c r="D108" s="4">
        <v>12753000</v>
      </c>
      <c r="E108" s="4">
        <v>15027600</v>
      </c>
      <c r="F108" s="4">
        <v>13000000</v>
      </c>
      <c r="G108" s="4">
        <f>SUM(B108:F108)</f>
        <v>42232300</v>
      </c>
      <c r="H108" s="4">
        <v>29093249</v>
      </c>
      <c r="I108" s="4">
        <v>77319538</v>
      </c>
      <c r="J108" s="27">
        <f>G108/I108</f>
        <v>0.54620476392396444</v>
      </c>
      <c r="K108" s="29">
        <f>H108/I108</f>
        <v>0.37627292858371708</v>
      </c>
      <c r="L108" s="6">
        <v>667</v>
      </c>
      <c r="M108" s="7">
        <v>0.70499999999999996</v>
      </c>
      <c r="N108" s="10">
        <v>8.1999999999999993</v>
      </c>
      <c r="O108" s="6">
        <v>68</v>
      </c>
      <c r="P108" s="10">
        <v>4.79</v>
      </c>
      <c r="Q108" s="6">
        <v>120</v>
      </c>
      <c r="R108" s="10">
        <v>4.4000000000000004</v>
      </c>
      <c r="S108" s="6">
        <v>107</v>
      </c>
      <c r="T108" s="5">
        <f t="shared" si="1"/>
        <v>0.41975308641975306</v>
      </c>
    </row>
    <row r="109" spans="1:20" x14ac:dyDescent="0.2">
      <c r="A109" s="26">
        <v>2011</v>
      </c>
      <c r="B109" s="3" t="s">
        <v>17</v>
      </c>
      <c r="C109" s="4">
        <v>424300</v>
      </c>
      <c r="D109" s="4">
        <v>6137357</v>
      </c>
      <c r="E109" s="4">
        <v>16958567</v>
      </c>
      <c r="F109" s="4">
        <v>13606557</v>
      </c>
      <c r="G109" s="4">
        <f>SUM(B109:F109)</f>
        <v>37126781</v>
      </c>
      <c r="H109" s="4">
        <v>18833812</v>
      </c>
      <c r="I109" s="4">
        <v>55960593</v>
      </c>
      <c r="J109" s="27">
        <f>G109/I109</f>
        <v>0.66344509608752711</v>
      </c>
      <c r="K109" s="29">
        <f>H109/I109</f>
        <v>0.33655490391247284</v>
      </c>
      <c r="L109" s="6">
        <v>704</v>
      </c>
      <c r="M109" s="7">
        <v>0.71399999999999997</v>
      </c>
      <c r="N109" s="10">
        <v>9.3000000000000007</v>
      </c>
      <c r="O109" s="6">
        <v>80</v>
      </c>
      <c r="P109" s="10">
        <v>4.24</v>
      </c>
      <c r="Q109" s="6">
        <v>108</v>
      </c>
      <c r="R109" s="10">
        <v>4.0599999999999996</v>
      </c>
      <c r="S109" s="6">
        <v>102</v>
      </c>
      <c r="T109" s="5">
        <f t="shared" si="1"/>
        <v>0.49382716049382713</v>
      </c>
    </row>
    <row r="110" spans="1:20" x14ac:dyDescent="0.2">
      <c r="A110" s="26">
        <v>2019</v>
      </c>
      <c r="B110" s="3" t="s">
        <v>11</v>
      </c>
      <c r="C110" s="4">
        <v>1451949</v>
      </c>
      <c r="D110" s="4">
        <v>34770908</v>
      </c>
      <c r="E110" s="4">
        <v>3254422</v>
      </c>
      <c r="F110" s="4">
        <v>0</v>
      </c>
      <c r="G110" s="4">
        <f>SUM(B110:F110)</f>
        <v>39477279</v>
      </c>
      <c r="H110" s="4">
        <v>45226584</v>
      </c>
      <c r="I110" s="4">
        <v>144391293</v>
      </c>
      <c r="J110" s="27">
        <f>G110/I110</f>
        <v>0.2734048444319977</v>
      </c>
      <c r="K110" s="28">
        <f>H110/I110</f>
        <v>0.31322237691991578</v>
      </c>
      <c r="L110" s="8">
        <v>758</v>
      </c>
      <c r="M110" s="9">
        <v>0.74</v>
      </c>
      <c r="N110" s="14">
        <v>16.399999999999999</v>
      </c>
      <c r="O110" s="8">
        <v>68</v>
      </c>
      <c r="P110" s="14">
        <v>5</v>
      </c>
      <c r="Q110" s="8">
        <v>113</v>
      </c>
      <c r="R110" s="14">
        <v>5</v>
      </c>
      <c r="S110" s="8">
        <v>111</v>
      </c>
      <c r="T110" s="5">
        <f t="shared" si="1"/>
        <v>0.41975308641975306</v>
      </c>
    </row>
    <row r="111" spans="1:20" x14ac:dyDescent="0.2">
      <c r="A111" s="26">
        <v>2018</v>
      </c>
      <c r="B111" s="3" t="s">
        <v>11</v>
      </c>
      <c r="C111" s="4">
        <v>3710430</v>
      </c>
      <c r="D111" s="4">
        <v>55059062</v>
      </c>
      <c r="E111" s="4">
        <v>4439196</v>
      </c>
      <c r="F111" s="4">
        <v>14275000</v>
      </c>
      <c r="G111" s="4">
        <f>SUM(B111:F111)</f>
        <v>77483688</v>
      </c>
      <c r="H111" s="4">
        <v>59355975</v>
      </c>
      <c r="I111" s="4">
        <v>160993827</v>
      </c>
      <c r="J111" s="27">
        <f>G111/I111</f>
        <v>0.48128359604744347</v>
      </c>
      <c r="K111" s="28">
        <f>H111/I111</f>
        <v>0.36868478814408207</v>
      </c>
      <c r="L111" s="8">
        <v>677</v>
      </c>
      <c r="M111" s="9">
        <v>0.72199999999999998</v>
      </c>
      <c r="N111" s="14">
        <v>18.2</v>
      </c>
      <c r="O111" s="8">
        <v>89</v>
      </c>
      <c r="P111" s="14">
        <v>4.13</v>
      </c>
      <c r="Q111" s="8">
        <v>101</v>
      </c>
      <c r="R111" s="14">
        <v>4.05</v>
      </c>
      <c r="S111" s="8">
        <v>98</v>
      </c>
      <c r="T111" s="5">
        <f t="shared" si="1"/>
        <v>0.54938271604938271</v>
      </c>
    </row>
    <row r="112" spans="1:20" x14ac:dyDescent="0.2">
      <c r="A112" s="26">
        <v>2017</v>
      </c>
      <c r="B112" s="3" t="s">
        <v>11</v>
      </c>
      <c r="C112" s="4">
        <v>5107703</v>
      </c>
      <c r="D112" s="4">
        <v>49196827</v>
      </c>
      <c r="E112" s="4">
        <v>4666601</v>
      </c>
      <c r="F112" s="4">
        <v>14250000</v>
      </c>
      <c r="G112" s="4">
        <f>SUM(B112:F112)</f>
        <v>73221131</v>
      </c>
      <c r="H112" s="4">
        <v>53399852</v>
      </c>
      <c r="I112" s="4">
        <v>161397330</v>
      </c>
      <c r="J112" s="27">
        <f>G112/I112</f>
        <v>0.45367002663550876</v>
      </c>
      <c r="K112" s="28">
        <f>H112/I112</f>
        <v>0.33085957493844537</v>
      </c>
      <c r="L112" s="8">
        <v>750</v>
      </c>
      <c r="M112" s="9">
        <v>0.749</v>
      </c>
      <c r="N112" s="14">
        <v>21.6</v>
      </c>
      <c r="O112" s="8">
        <v>78</v>
      </c>
      <c r="P112" s="14">
        <v>4.46</v>
      </c>
      <c r="Q112" s="8">
        <v>106</v>
      </c>
      <c r="R112" s="14">
        <v>4.7</v>
      </c>
      <c r="S112" s="8">
        <v>109</v>
      </c>
      <c r="T112" s="5">
        <f t="shared" si="1"/>
        <v>0.48148148148148145</v>
      </c>
    </row>
    <row r="113" spans="1:20" x14ac:dyDescent="0.2">
      <c r="A113" s="26">
        <v>2016</v>
      </c>
      <c r="B113" s="3" t="s">
        <v>11</v>
      </c>
      <c r="C113" s="4">
        <v>5166308</v>
      </c>
      <c r="D113" s="4">
        <v>41778921</v>
      </c>
      <c r="E113" s="4">
        <v>19826698</v>
      </c>
      <c r="F113" s="4">
        <v>14250000</v>
      </c>
      <c r="G113" s="4">
        <f>SUM(B113:F113)</f>
        <v>81021927</v>
      </c>
      <c r="H113" s="4">
        <v>50811294</v>
      </c>
      <c r="I113" s="4">
        <v>146536553</v>
      </c>
      <c r="J113" s="27">
        <f>G113/I113</f>
        <v>0.55291273979946831</v>
      </c>
      <c r="K113" s="29">
        <f>H113/I113</f>
        <v>0.34674825468291176</v>
      </c>
      <c r="L113" s="6">
        <v>768</v>
      </c>
      <c r="M113" s="7">
        <v>0.75600000000000001</v>
      </c>
      <c r="N113" s="10">
        <v>21.3</v>
      </c>
      <c r="O113" s="6">
        <v>86</v>
      </c>
      <c r="P113" s="10">
        <v>4</v>
      </c>
      <c r="Q113" s="6">
        <v>100</v>
      </c>
      <c r="R113" s="10">
        <v>4.3</v>
      </c>
      <c r="S113" s="6">
        <v>103</v>
      </c>
      <c r="T113" s="5">
        <f t="shared" si="1"/>
        <v>0.53086419753086422</v>
      </c>
    </row>
    <row r="114" spans="1:20" x14ac:dyDescent="0.2">
      <c r="A114" s="26">
        <v>2015</v>
      </c>
      <c r="B114" s="3" t="s">
        <v>11</v>
      </c>
      <c r="C114" s="4">
        <v>836391</v>
      </c>
      <c r="D114" s="4">
        <v>29207859</v>
      </c>
      <c r="E114" s="4">
        <v>6468674</v>
      </c>
      <c r="F114" s="4">
        <v>21800409</v>
      </c>
      <c r="G114" s="4">
        <f>SUM(B114:F114)</f>
        <v>58313333</v>
      </c>
      <c r="H114" s="4">
        <v>37561449</v>
      </c>
      <c r="I114" s="4">
        <v>126045473</v>
      </c>
      <c r="J114" s="27">
        <f>G114/I114</f>
        <v>0.46263726583817888</v>
      </c>
      <c r="K114" s="29">
        <f>H114/I114</f>
        <v>0.29799919113318729</v>
      </c>
      <c r="L114" s="6">
        <v>656</v>
      </c>
      <c r="M114" s="7">
        <v>0.72199999999999998</v>
      </c>
      <c r="N114" s="10">
        <v>17.399999999999999</v>
      </c>
      <c r="O114" s="6">
        <v>76</v>
      </c>
      <c r="P114" s="10">
        <v>4.16</v>
      </c>
      <c r="Q114" s="6">
        <v>108</v>
      </c>
      <c r="R114" s="10">
        <v>4.1399999999999997</v>
      </c>
      <c r="S114" s="6">
        <v>104</v>
      </c>
      <c r="T114" s="5">
        <f t="shared" si="1"/>
        <v>0.46913580246913578</v>
      </c>
    </row>
    <row r="115" spans="1:20" x14ac:dyDescent="0.2">
      <c r="A115" s="26">
        <v>2014</v>
      </c>
      <c r="B115" s="3" t="s">
        <v>11</v>
      </c>
      <c r="C115" s="4">
        <v>730875</v>
      </c>
      <c r="D115" s="4">
        <v>29937700</v>
      </c>
      <c r="E115" s="4">
        <v>12395626</v>
      </c>
      <c r="F115" s="4">
        <v>6143442</v>
      </c>
      <c r="G115" s="4">
        <f>SUM(B115:F115)</f>
        <v>49207643</v>
      </c>
      <c r="H115" s="4">
        <v>48822417</v>
      </c>
      <c r="I115" s="4">
        <v>107034174</v>
      </c>
      <c r="J115" s="27">
        <f>G115/I115</f>
        <v>0.45973768153711358</v>
      </c>
      <c r="K115" s="29">
        <f>H115/I115</f>
        <v>0.45613858803637797</v>
      </c>
      <c r="L115" s="6">
        <v>634</v>
      </c>
      <c r="M115" s="7">
        <v>0.67600000000000005</v>
      </c>
      <c r="N115" s="10">
        <v>16.399999999999999</v>
      </c>
      <c r="O115" s="6">
        <v>87</v>
      </c>
      <c r="P115" s="10">
        <v>3.17</v>
      </c>
      <c r="Q115" s="6">
        <v>86</v>
      </c>
      <c r="R115" s="10">
        <v>3.61</v>
      </c>
      <c r="S115" s="6">
        <v>97</v>
      </c>
      <c r="T115" s="5">
        <f t="shared" si="1"/>
        <v>0.53703703703703709</v>
      </c>
    </row>
    <row r="116" spans="1:20" x14ac:dyDescent="0.2">
      <c r="A116" s="26">
        <v>2013</v>
      </c>
      <c r="B116" s="3" t="s">
        <v>11</v>
      </c>
      <c r="C116" s="4">
        <v>1092370</v>
      </c>
      <c r="D116" s="4">
        <v>4136748</v>
      </c>
      <c r="E116" s="4">
        <v>8708706</v>
      </c>
      <c r="F116" s="4">
        <v>8000000</v>
      </c>
      <c r="G116" s="4">
        <f>SUM(B116:F116)</f>
        <v>21937824</v>
      </c>
      <c r="H116" s="4">
        <v>41328472</v>
      </c>
      <c r="I116" s="4">
        <v>83220022</v>
      </c>
      <c r="J116" s="27">
        <f>G116/I116</f>
        <v>0.26361233117674493</v>
      </c>
      <c r="K116" s="29">
        <f>H116/I116</f>
        <v>0.4966169319205419</v>
      </c>
      <c r="L116" s="6">
        <v>624</v>
      </c>
      <c r="M116" s="7">
        <v>0.69499999999999995</v>
      </c>
      <c r="N116" s="10">
        <v>10</v>
      </c>
      <c r="O116" s="6">
        <v>71</v>
      </c>
      <c r="P116" s="10">
        <v>4.32</v>
      </c>
      <c r="Q116" s="6">
        <v>112</v>
      </c>
      <c r="R116" s="10">
        <v>3.89</v>
      </c>
      <c r="S116" s="6">
        <v>100</v>
      </c>
      <c r="T116" s="5">
        <f t="shared" si="1"/>
        <v>0.43827160493827161</v>
      </c>
    </row>
    <row r="117" spans="1:20" x14ac:dyDescent="0.2">
      <c r="A117" s="26">
        <v>2012</v>
      </c>
      <c r="B117" s="3" t="s">
        <v>11</v>
      </c>
      <c r="C117" s="4">
        <v>4720500</v>
      </c>
      <c r="D117" s="4">
        <v>16718287</v>
      </c>
      <c r="E117" s="4">
        <v>8733800</v>
      </c>
      <c r="F117" s="4">
        <v>0</v>
      </c>
      <c r="G117" s="4">
        <f>SUM(B117:F117)</f>
        <v>30172587</v>
      </c>
      <c r="H117" s="4">
        <v>43048263</v>
      </c>
      <c r="I117" s="4">
        <v>84439430</v>
      </c>
      <c r="J117" s="27">
        <f>G117/I117</f>
        <v>0.35732817002672801</v>
      </c>
      <c r="K117" s="29">
        <f>H117/I117</f>
        <v>0.50981233530354242</v>
      </c>
      <c r="L117" s="6">
        <v>619</v>
      </c>
      <c r="M117" s="7">
        <v>0.66500000000000004</v>
      </c>
      <c r="N117" s="10">
        <v>8.9</v>
      </c>
      <c r="O117" s="6">
        <v>75</v>
      </c>
      <c r="P117" s="10">
        <v>3.76</v>
      </c>
      <c r="Q117" s="6">
        <v>98</v>
      </c>
      <c r="R117" s="10">
        <v>4</v>
      </c>
      <c r="S117" s="6">
        <v>100</v>
      </c>
      <c r="T117" s="5">
        <f t="shared" si="1"/>
        <v>0.46296296296296297</v>
      </c>
    </row>
    <row r="118" spans="1:20" x14ac:dyDescent="0.2">
      <c r="A118" s="26">
        <v>2011</v>
      </c>
      <c r="B118" s="3" t="s">
        <v>11</v>
      </c>
      <c r="C118" s="4">
        <v>3331500</v>
      </c>
      <c r="D118" s="4">
        <v>14772000</v>
      </c>
      <c r="E118" s="4">
        <v>37307834</v>
      </c>
      <c r="F118" s="4">
        <v>2500000</v>
      </c>
      <c r="G118" s="4">
        <f>SUM(B118:F118)</f>
        <v>57911334</v>
      </c>
      <c r="H118" s="4">
        <v>30996500</v>
      </c>
      <c r="I118" s="4">
        <v>101429148</v>
      </c>
      <c r="J118" s="27">
        <f>G118/I118</f>
        <v>0.57095356849492618</v>
      </c>
      <c r="K118" s="29">
        <f>H118/I118</f>
        <v>0.30559755860317389</v>
      </c>
      <c r="L118" s="6">
        <v>556</v>
      </c>
      <c r="M118" s="7">
        <v>0.64</v>
      </c>
      <c r="N118" s="10">
        <v>3.9</v>
      </c>
      <c r="O118" s="6">
        <v>67</v>
      </c>
      <c r="P118" s="10">
        <v>3.91</v>
      </c>
      <c r="Q118" s="6">
        <v>102</v>
      </c>
      <c r="R118" s="10">
        <v>3.84</v>
      </c>
      <c r="S118" s="6">
        <v>98</v>
      </c>
      <c r="T118" s="5">
        <f t="shared" si="1"/>
        <v>0.41358024691358025</v>
      </c>
    </row>
    <row r="119" spans="1:20" x14ac:dyDescent="0.2">
      <c r="A119" s="26">
        <v>2019</v>
      </c>
      <c r="B119" s="3" t="s">
        <v>19</v>
      </c>
      <c r="C119" s="4">
        <v>1436880</v>
      </c>
      <c r="D119" s="4">
        <v>32665638</v>
      </c>
      <c r="E119" s="4">
        <v>3308865</v>
      </c>
      <c r="F119" s="4">
        <v>0</v>
      </c>
      <c r="G119" s="4">
        <f>SUM(B119:F119)</f>
        <v>37411383</v>
      </c>
      <c r="H119" s="4">
        <v>29191377</v>
      </c>
      <c r="I119" s="4">
        <v>75596271</v>
      </c>
      <c r="J119" s="27">
        <f>G119/I119</f>
        <v>0.49488397384045568</v>
      </c>
      <c r="K119" s="28">
        <f>H119/I119</f>
        <v>0.3861483723185235</v>
      </c>
      <c r="L119" s="8">
        <v>615</v>
      </c>
      <c r="M119" s="9">
        <v>0.67300000000000004</v>
      </c>
      <c r="N119" s="14">
        <v>2.6</v>
      </c>
      <c r="O119" s="8">
        <v>57</v>
      </c>
      <c r="P119" s="14">
        <v>4.74</v>
      </c>
      <c r="Q119" s="8">
        <v>113</v>
      </c>
      <c r="R119" s="14">
        <v>4.8899999999999997</v>
      </c>
      <c r="S119" s="8">
        <v>114</v>
      </c>
      <c r="T119" s="5">
        <f t="shared" si="1"/>
        <v>0.35185185185185186</v>
      </c>
    </row>
    <row r="120" spans="1:20" x14ac:dyDescent="0.2">
      <c r="A120" s="26">
        <v>2018</v>
      </c>
      <c r="B120" s="3" t="s">
        <v>19</v>
      </c>
      <c r="C120" s="4">
        <v>4055290</v>
      </c>
      <c r="D120" s="4">
        <v>12957182</v>
      </c>
      <c r="E120" s="4">
        <v>4589960</v>
      </c>
      <c r="F120" s="4">
        <v>0</v>
      </c>
      <c r="G120" s="4">
        <f>SUM(B120:F120)</f>
        <v>21602432</v>
      </c>
      <c r="H120" s="4">
        <v>21431082</v>
      </c>
      <c r="I120" s="4">
        <v>91817860</v>
      </c>
      <c r="J120" s="27">
        <f>G120/I120</f>
        <v>0.23527483650784281</v>
      </c>
      <c r="K120" s="28">
        <f>H120/I120</f>
        <v>0.23340864184811103</v>
      </c>
      <c r="L120" s="8">
        <v>589</v>
      </c>
      <c r="M120" s="9">
        <v>0.65900000000000003</v>
      </c>
      <c r="N120" s="14">
        <v>9.9</v>
      </c>
      <c r="O120" s="8">
        <v>63</v>
      </c>
      <c r="P120" s="14">
        <v>4.76</v>
      </c>
      <c r="Q120" s="8">
        <v>124</v>
      </c>
      <c r="R120" s="14">
        <v>4.57</v>
      </c>
      <c r="S120" s="8">
        <v>116</v>
      </c>
      <c r="T120" s="5">
        <f t="shared" si="1"/>
        <v>0.3888888888888889</v>
      </c>
    </row>
    <row r="121" spans="1:20" x14ac:dyDescent="0.2">
      <c r="A121" s="26">
        <v>2017</v>
      </c>
      <c r="B121" s="3" t="s">
        <v>19</v>
      </c>
      <c r="C121" s="4">
        <v>3062500</v>
      </c>
      <c r="D121" s="4">
        <v>12131178</v>
      </c>
      <c r="E121" s="4">
        <v>23500000</v>
      </c>
      <c r="F121" s="4">
        <v>0</v>
      </c>
      <c r="G121" s="4">
        <f>SUM(B121:F121)</f>
        <v>38693678</v>
      </c>
      <c r="H121" s="4">
        <v>33666633</v>
      </c>
      <c r="I121" s="4">
        <v>110765599</v>
      </c>
      <c r="J121" s="27">
        <f>G121/I121</f>
        <v>0.34932937978333867</v>
      </c>
      <c r="K121" s="28">
        <f>H121/I121</f>
        <v>0.30394484663058607</v>
      </c>
      <c r="L121" s="8">
        <v>778</v>
      </c>
      <c r="M121" s="9">
        <v>0.76100000000000001</v>
      </c>
      <c r="N121" s="14">
        <v>27.9</v>
      </c>
      <c r="O121" s="8">
        <v>77</v>
      </c>
      <c r="P121" s="14">
        <v>4.82</v>
      </c>
      <c r="Q121" s="8">
        <v>116</v>
      </c>
      <c r="R121" s="14">
        <v>4.6900000000000004</v>
      </c>
      <c r="S121" s="8">
        <v>112</v>
      </c>
      <c r="T121" s="5">
        <f t="shared" si="1"/>
        <v>0.47530864197530864</v>
      </c>
    </row>
    <row r="122" spans="1:20" x14ac:dyDescent="0.2">
      <c r="A122" s="26">
        <v>2016</v>
      </c>
      <c r="B122" s="3" t="s">
        <v>19</v>
      </c>
      <c r="C122" s="4">
        <f>1500000+532500</f>
        <v>2032500</v>
      </c>
      <c r="D122" s="4">
        <f>537500+507500+3300000+522500+511000+8000000+2625000</f>
        <v>16003500</v>
      </c>
      <c r="E122" s="4">
        <f>570000+1000000+2000000+9000000</f>
        <v>12570000</v>
      </c>
      <c r="F122" s="4">
        <v>0</v>
      </c>
      <c r="G122" s="4">
        <f>SUM(B122:F122)</f>
        <v>30606000</v>
      </c>
      <c r="H122" s="4">
        <f>19862500+14907500</f>
        <v>34770000</v>
      </c>
      <c r="I122" s="4">
        <v>74364500</v>
      </c>
      <c r="J122" s="27">
        <f>G122/I122</f>
        <v>0.41156734732298339</v>
      </c>
      <c r="K122" s="29">
        <f>H122/I122</f>
        <v>0.4675618070450282</v>
      </c>
      <c r="L122" s="6">
        <v>655</v>
      </c>
      <c r="M122" s="7">
        <v>0.71599999999999997</v>
      </c>
      <c r="N122" s="10">
        <v>21.3</v>
      </c>
      <c r="O122" s="6">
        <v>79</v>
      </c>
      <c r="P122" s="10">
        <v>4.05</v>
      </c>
      <c r="Q122" s="6">
        <v>103</v>
      </c>
      <c r="R122" s="10">
        <v>3.97</v>
      </c>
      <c r="S122" s="6">
        <v>99</v>
      </c>
      <c r="T122" s="5">
        <f t="shared" si="1"/>
        <v>0.48765432098765432</v>
      </c>
    </row>
    <row r="123" spans="1:20" x14ac:dyDescent="0.2">
      <c r="A123" s="26">
        <v>2015</v>
      </c>
      <c r="B123" s="3" t="s">
        <v>19</v>
      </c>
      <c r="C123" s="4">
        <v>1982540</v>
      </c>
      <c r="D123" s="4">
        <v>14526807</v>
      </c>
      <c r="E123" s="4">
        <v>4470218</v>
      </c>
      <c r="F123" s="4">
        <v>0</v>
      </c>
      <c r="G123" s="4">
        <f>SUM(B123:F123)</f>
        <v>20979565</v>
      </c>
      <c r="H123" s="4">
        <v>7191579</v>
      </c>
      <c r="I123" s="4">
        <v>76090525</v>
      </c>
      <c r="J123" s="27">
        <f>G123/I123</f>
        <v>0.2757184945168929</v>
      </c>
      <c r="K123" s="29">
        <f>H123/I123</f>
        <v>9.4513462747168583E-2</v>
      </c>
      <c r="L123" s="6">
        <v>613</v>
      </c>
      <c r="M123" s="7">
        <v>0.69399999999999995</v>
      </c>
      <c r="N123" s="10">
        <v>15.3</v>
      </c>
      <c r="O123" s="6">
        <v>71</v>
      </c>
      <c r="P123" s="10">
        <v>4.04</v>
      </c>
      <c r="Q123" s="6">
        <v>106</v>
      </c>
      <c r="R123" s="10">
        <v>3.98</v>
      </c>
      <c r="S123" s="6">
        <v>105</v>
      </c>
      <c r="T123" s="5">
        <f t="shared" si="1"/>
        <v>0.43827160493827161</v>
      </c>
    </row>
    <row r="124" spans="1:20" x14ac:dyDescent="0.2">
      <c r="A124" s="26">
        <v>2014</v>
      </c>
      <c r="B124" s="3" t="s">
        <v>19</v>
      </c>
      <c r="C124" s="4">
        <v>7500000</v>
      </c>
      <c r="D124" s="4">
        <v>6939393</v>
      </c>
      <c r="E124" s="4">
        <v>11423934</v>
      </c>
      <c r="F124" s="4">
        <v>0</v>
      </c>
      <c r="G124" s="4">
        <f>SUM(B124:F124)</f>
        <v>25863327</v>
      </c>
      <c r="H124" s="4">
        <v>13368453</v>
      </c>
      <c r="I124" s="4">
        <v>50671396</v>
      </c>
      <c r="J124" s="27">
        <f>G124/I124</f>
        <v>0.51041275831437527</v>
      </c>
      <c r="K124" s="29">
        <f>H124/I124</f>
        <v>0.26382641993917044</v>
      </c>
      <c r="L124" s="6">
        <v>645</v>
      </c>
      <c r="M124" s="7">
        <v>0.69399999999999995</v>
      </c>
      <c r="N124" s="10">
        <v>16.600000000000001</v>
      </c>
      <c r="O124" s="6">
        <v>77</v>
      </c>
      <c r="P124" s="10">
        <v>3.79</v>
      </c>
      <c r="Q124" s="6">
        <v>105</v>
      </c>
      <c r="R124" s="10">
        <v>3.56</v>
      </c>
      <c r="S124" s="6">
        <v>99</v>
      </c>
      <c r="T124" s="5">
        <f t="shared" si="1"/>
        <v>0.47530864197530864</v>
      </c>
    </row>
    <row r="125" spans="1:20" x14ac:dyDescent="0.2">
      <c r="A125" s="26">
        <v>2013</v>
      </c>
      <c r="B125" s="3" t="s">
        <v>19</v>
      </c>
      <c r="C125" s="4">
        <v>2064971</v>
      </c>
      <c r="D125" s="4">
        <v>8668176</v>
      </c>
      <c r="E125" s="4">
        <v>4019754</v>
      </c>
      <c r="F125" s="4">
        <v>303494</v>
      </c>
      <c r="G125" s="4">
        <f>SUM(B125:F125)</f>
        <v>15056395</v>
      </c>
      <c r="H125" s="4">
        <v>8561932</v>
      </c>
      <c r="I125" s="4">
        <v>36028542</v>
      </c>
      <c r="J125" s="27">
        <f>G125/I125</f>
        <v>0.41790186791350037</v>
      </c>
      <c r="K125" s="29">
        <f>H125/I125</f>
        <v>0.23764303312634744</v>
      </c>
      <c r="L125" s="6">
        <v>513</v>
      </c>
      <c r="M125" s="7">
        <v>0.627</v>
      </c>
      <c r="N125" s="10">
        <v>3.3</v>
      </c>
      <c r="O125" s="6">
        <v>62</v>
      </c>
      <c r="P125" s="10">
        <v>3.71</v>
      </c>
      <c r="Q125" s="6">
        <v>101</v>
      </c>
      <c r="R125" s="10">
        <v>3.69</v>
      </c>
      <c r="S125" s="6">
        <v>101</v>
      </c>
      <c r="T125" s="5">
        <f t="shared" si="1"/>
        <v>0.38271604938271603</v>
      </c>
    </row>
    <row r="126" spans="1:20" x14ac:dyDescent="0.2">
      <c r="A126" s="26">
        <v>2012</v>
      </c>
      <c r="B126" s="3" t="s">
        <v>19</v>
      </c>
      <c r="C126" s="4">
        <v>7460000</v>
      </c>
      <c r="D126" s="4">
        <v>13578688</v>
      </c>
      <c r="E126" s="4">
        <v>6400000</v>
      </c>
      <c r="F126" s="4">
        <v>480000</v>
      </c>
      <c r="G126" s="4">
        <f>SUM(B126:F126)</f>
        <v>27918688</v>
      </c>
      <c r="H126" s="4">
        <v>53100000</v>
      </c>
      <c r="I126" s="4">
        <v>98392974</v>
      </c>
      <c r="J126" s="27">
        <f>G126/I126</f>
        <v>0.28374676427607526</v>
      </c>
      <c r="K126" s="29">
        <f>H126/I126</f>
        <v>0.5396726802871108</v>
      </c>
      <c r="L126" s="6">
        <v>609</v>
      </c>
      <c r="M126" s="7">
        <v>0.69</v>
      </c>
      <c r="N126" s="10">
        <v>10.6</v>
      </c>
      <c r="O126" s="6">
        <v>69</v>
      </c>
      <c r="P126" s="10">
        <v>4.0999999999999996</v>
      </c>
      <c r="Q126" s="6">
        <v>106</v>
      </c>
      <c r="R126" s="10">
        <v>3.89</v>
      </c>
      <c r="S126" s="6">
        <v>103</v>
      </c>
      <c r="T126" s="5">
        <f t="shared" si="1"/>
        <v>0.42592592592592593</v>
      </c>
    </row>
    <row r="127" spans="1:20" x14ac:dyDescent="0.2">
      <c r="A127" s="26">
        <v>2011</v>
      </c>
      <c r="B127" s="3" t="s">
        <v>19</v>
      </c>
      <c r="C127" s="4">
        <v>5510000</v>
      </c>
      <c r="D127" s="4">
        <v>19167000</v>
      </c>
      <c r="E127" s="4">
        <v>21996204</v>
      </c>
      <c r="F127" s="4">
        <v>0</v>
      </c>
      <c r="G127" s="4">
        <f>SUM(B127:F127)</f>
        <v>46673204</v>
      </c>
      <c r="H127" s="4">
        <v>52006411</v>
      </c>
      <c r="I127" s="4">
        <v>118668615</v>
      </c>
      <c r="J127" s="27">
        <f>G127/I127</f>
        <v>0.39330705932651189</v>
      </c>
      <c r="K127" s="29">
        <f>H127/I127</f>
        <v>0.43824907706220384</v>
      </c>
      <c r="L127" s="6">
        <v>625</v>
      </c>
      <c r="M127" s="7">
        <v>0.70599999999999996</v>
      </c>
      <c r="N127" s="10">
        <v>13.7</v>
      </c>
      <c r="O127" s="6">
        <v>72</v>
      </c>
      <c r="P127" s="10">
        <v>3.95</v>
      </c>
      <c r="Q127" s="6">
        <v>102</v>
      </c>
      <c r="R127" s="10">
        <v>3.79</v>
      </c>
      <c r="S127" s="6">
        <v>100</v>
      </c>
      <c r="T127" s="5">
        <f t="shared" si="1"/>
        <v>0.44444444444444442</v>
      </c>
    </row>
    <row r="128" spans="1:20" x14ac:dyDescent="0.2">
      <c r="A128" s="26">
        <v>2019</v>
      </c>
      <c r="B128" s="3" t="s">
        <v>14</v>
      </c>
      <c r="C128" s="4">
        <v>7856914</v>
      </c>
      <c r="D128" s="4">
        <v>39270800</v>
      </c>
      <c r="E128" s="4">
        <v>13778253</v>
      </c>
      <c r="F128" s="4">
        <v>0</v>
      </c>
      <c r="G128" s="4">
        <f>SUM(B128:F128)</f>
        <v>60905967</v>
      </c>
      <c r="H128" s="4">
        <v>43084606</v>
      </c>
      <c r="I128" s="4">
        <v>146335812</v>
      </c>
      <c r="J128" s="27">
        <f>G128/I128</f>
        <v>0.41620684757603971</v>
      </c>
      <c r="K128" s="28">
        <f>H128/I128</f>
        <v>0.29442284435473665</v>
      </c>
      <c r="L128" s="8">
        <v>791</v>
      </c>
      <c r="M128" s="9">
        <v>0.77</v>
      </c>
      <c r="N128" s="14">
        <v>23.5</v>
      </c>
      <c r="O128" s="8">
        <v>86</v>
      </c>
      <c r="P128" s="14">
        <v>4.25</v>
      </c>
      <c r="Q128" s="8">
        <v>103</v>
      </c>
      <c r="R128" s="14">
        <v>4.0999999999999996</v>
      </c>
      <c r="S128" s="8">
        <v>94</v>
      </c>
      <c r="T128" s="5">
        <f t="shared" si="1"/>
        <v>0.53086419753086422</v>
      </c>
    </row>
    <row r="129" spans="1:20" x14ac:dyDescent="0.2">
      <c r="A129" s="26">
        <v>2018</v>
      </c>
      <c r="B129" s="3" t="s">
        <v>14</v>
      </c>
      <c r="C129" s="4">
        <v>1240901</v>
      </c>
      <c r="D129" s="4">
        <v>34485130</v>
      </c>
      <c r="E129" s="4">
        <v>12345461</v>
      </c>
      <c r="F129" s="4">
        <v>0</v>
      </c>
      <c r="G129" s="4">
        <f>SUM(B129:F129)</f>
        <v>48071492</v>
      </c>
      <c r="H129" s="4">
        <v>34583711</v>
      </c>
      <c r="I129" s="4">
        <v>150187987</v>
      </c>
      <c r="J129" s="27">
        <f>G129/I129</f>
        <v>0.32007547980518575</v>
      </c>
      <c r="K129" s="28">
        <f>H129/I129</f>
        <v>0.23026948886397952</v>
      </c>
      <c r="L129" s="8">
        <v>676</v>
      </c>
      <c r="M129" s="9">
        <v>0.70099999999999996</v>
      </c>
      <c r="N129" s="14">
        <v>15</v>
      </c>
      <c r="O129" s="8">
        <v>77</v>
      </c>
      <c r="P129" s="14">
        <v>4.07</v>
      </c>
      <c r="Q129" s="8">
        <v>107</v>
      </c>
      <c r="R129" s="14">
        <v>3.97</v>
      </c>
      <c r="S129" s="8">
        <v>99</v>
      </c>
      <c r="T129" s="5">
        <f t="shared" si="1"/>
        <v>0.47530864197530864</v>
      </c>
    </row>
    <row r="130" spans="1:20" x14ac:dyDescent="0.2">
      <c r="A130" s="26">
        <v>2017</v>
      </c>
      <c r="B130" s="3" t="s">
        <v>14</v>
      </c>
      <c r="C130" s="4">
        <v>2161454</v>
      </c>
      <c r="D130" s="4">
        <v>11926206</v>
      </c>
      <c r="E130" s="4">
        <v>5138271</v>
      </c>
      <c r="F130" s="4">
        <v>0</v>
      </c>
      <c r="G130" s="4">
        <f>SUM(B130:F130)</f>
        <v>19225931</v>
      </c>
      <c r="H130" s="4">
        <v>29510539</v>
      </c>
      <c r="I130" s="4">
        <v>143990158</v>
      </c>
      <c r="J130" s="27">
        <f>G130/I130</f>
        <v>0.13352253561663568</v>
      </c>
      <c r="K130" s="28">
        <f>H130/I130</f>
        <v>0.20494830625854304</v>
      </c>
      <c r="L130" s="8">
        <v>735</v>
      </c>
      <c r="M130" s="9">
        <v>0.755</v>
      </c>
      <c r="N130" s="14">
        <v>22.6</v>
      </c>
      <c r="O130" s="8">
        <v>70</v>
      </c>
      <c r="P130" s="14">
        <v>5.01</v>
      </c>
      <c r="Q130" s="8">
        <v>123</v>
      </c>
      <c r="R130" s="14">
        <v>4.59</v>
      </c>
      <c r="S130" s="8">
        <v>108</v>
      </c>
      <c r="T130" s="5">
        <f t="shared" si="1"/>
        <v>0.43209876543209874</v>
      </c>
    </row>
    <row r="131" spans="1:20" x14ac:dyDescent="0.2">
      <c r="A131" s="26">
        <v>2016</v>
      </c>
      <c r="B131" s="3" t="s">
        <v>14</v>
      </c>
      <c r="C131" s="4">
        <f>542604+511360</f>
        <v>1053964</v>
      </c>
      <c r="D131" s="4">
        <f>6725000+513308+10550000+20000000+526014+8250000</f>
        <v>46564322</v>
      </c>
      <c r="E131" s="4">
        <f>2500000+27500000+517246+5750000+16000000</f>
        <v>52267246</v>
      </c>
      <c r="F131" s="4">
        <v>0</v>
      </c>
      <c r="G131" s="4">
        <f>SUM(B131:F131)</f>
        <v>99885532</v>
      </c>
      <c r="H131" s="4">
        <f>13748000+20516500</f>
        <v>34264500</v>
      </c>
      <c r="I131" s="4">
        <v>135188085</v>
      </c>
      <c r="J131" s="27">
        <f>G131/I131</f>
        <v>0.73886342868160315</v>
      </c>
      <c r="K131" s="29">
        <f>H131/I131</f>
        <v>0.25345798781009438</v>
      </c>
      <c r="L131" s="6">
        <v>671</v>
      </c>
      <c r="M131" s="7">
        <v>0.73299999999999998</v>
      </c>
      <c r="N131" s="10">
        <v>23.4</v>
      </c>
      <c r="O131" s="6">
        <v>87</v>
      </c>
      <c r="P131" s="10">
        <v>3.58</v>
      </c>
      <c r="Q131" s="6">
        <v>92</v>
      </c>
      <c r="R131" s="10">
        <v>3.57</v>
      </c>
      <c r="S131" s="6">
        <v>88</v>
      </c>
      <c r="T131" s="5">
        <f t="shared" ref="T131:T194" si="2">O131/162</f>
        <v>0.53703703703703709</v>
      </c>
    </row>
    <row r="132" spans="1:20" x14ac:dyDescent="0.2">
      <c r="A132" s="26">
        <v>2015</v>
      </c>
      <c r="B132" s="3" t="s">
        <v>14</v>
      </c>
      <c r="C132" s="4">
        <v>1511914</v>
      </c>
      <c r="D132" s="4">
        <v>38974213</v>
      </c>
      <c r="E132" s="4">
        <v>29484624</v>
      </c>
      <c r="F132" s="4">
        <v>0</v>
      </c>
      <c r="G132" s="4">
        <f>SUM(B132:F132)</f>
        <v>69970751</v>
      </c>
      <c r="H132" s="4">
        <v>32509509</v>
      </c>
      <c r="I132" s="4">
        <v>115698927</v>
      </c>
      <c r="J132" s="27">
        <f>G132/I132</f>
        <v>0.60476577280617305</v>
      </c>
      <c r="K132" s="29">
        <f>H132/I132</f>
        <v>0.28098366893238347</v>
      </c>
      <c r="L132" s="6">
        <v>683</v>
      </c>
      <c r="M132" s="7">
        <v>0.71199999999999997</v>
      </c>
      <c r="N132" s="10">
        <v>24.6</v>
      </c>
      <c r="O132" s="6">
        <v>90</v>
      </c>
      <c r="P132" s="10">
        <v>3.45</v>
      </c>
      <c r="Q132" s="6">
        <v>93</v>
      </c>
      <c r="R132" s="10">
        <v>3.53</v>
      </c>
      <c r="S132" s="6">
        <v>91</v>
      </c>
      <c r="T132" s="5">
        <f t="shared" si="2"/>
        <v>0.55555555555555558</v>
      </c>
    </row>
    <row r="133" spans="1:20" x14ac:dyDescent="0.2">
      <c r="A133" s="26">
        <v>2014</v>
      </c>
      <c r="B133" s="3" t="s">
        <v>14</v>
      </c>
      <c r="C133" s="4">
        <v>963047</v>
      </c>
      <c r="D133" s="4">
        <v>29431942</v>
      </c>
      <c r="E133" s="4">
        <v>15766471</v>
      </c>
      <c r="F133" s="4">
        <v>0</v>
      </c>
      <c r="G133" s="4">
        <f>SUM(B133:F133)</f>
        <v>46161460</v>
      </c>
      <c r="H133" s="4">
        <v>27514075</v>
      </c>
      <c r="I133" s="4">
        <v>94478037</v>
      </c>
      <c r="J133" s="27">
        <f>G133/I133</f>
        <v>0.48859461379367991</v>
      </c>
      <c r="K133" s="29">
        <f>H133/I133</f>
        <v>0.29122191647567786</v>
      </c>
      <c r="L133" s="6">
        <v>629</v>
      </c>
      <c r="M133" s="7">
        <v>0.67300000000000004</v>
      </c>
      <c r="N133" s="10">
        <v>17.8</v>
      </c>
      <c r="O133" s="6">
        <v>79</v>
      </c>
      <c r="P133" s="10">
        <v>3.49</v>
      </c>
      <c r="Q133" s="6">
        <v>100</v>
      </c>
      <c r="R133" s="10">
        <v>3.75</v>
      </c>
      <c r="S133" s="6">
        <v>101</v>
      </c>
      <c r="T133" s="5">
        <f t="shared" si="2"/>
        <v>0.48765432098765432</v>
      </c>
    </row>
    <row r="134" spans="1:20" x14ac:dyDescent="0.2">
      <c r="A134" s="26">
        <v>2013</v>
      </c>
      <c r="B134" s="3" t="s">
        <v>14</v>
      </c>
      <c r="C134" s="4">
        <v>648785</v>
      </c>
      <c r="D134" s="4">
        <v>19192154</v>
      </c>
      <c r="E134" s="4">
        <v>921986</v>
      </c>
      <c r="F134" s="4">
        <v>0</v>
      </c>
      <c r="G134" s="4">
        <f>SUM(B134:F134)</f>
        <v>20762925</v>
      </c>
      <c r="H134" s="4">
        <v>24098311</v>
      </c>
      <c r="I134" s="4">
        <v>101300814</v>
      </c>
      <c r="J134" s="27">
        <f>G134/I134</f>
        <v>0.20496306179731191</v>
      </c>
      <c r="K134" s="29">
        <f>H134/I134</f>
        <v>0.23788862150702955</v>
      </c>
      <c r="L134" s="6">
        <v>619</v>
      </c>
      <c r="M134" s="7">
        <v>0.67200000000000004</v>
      </c>
      <c r="N134" s="10">
        <v>16.5</v>
      </c>
      <c r="O134" s="6">
        <v>74</v>
      </c>
      <c r="P134" s="10">
        <v>3.78</v>
      </c>
      <c r="Q134" s="6">
        <v>106</v>
      </c>
      <c r="R134" s="10">
        <v>3.79</v>
      </c>
      <c r="S134" s="6">
        <v>100</v>
      </c>
      <c r="T134" s="5">
        <f t="shared" si="2"/>
        <v>0.4567901234567901</v>
      </c>
    </row>
    <row r="135" spans="1:20" x14ac:dyDescent="0.2">
      <c r="A135" s="26">
        <v>2012</v>
      </c>
      <c r="B135" s="3" t="s">
        <v>14</v>
      </c>
      <c r="C135" s="4">
        <v>1836029</v>
      </c>
      <c r="D135" s="4">
        <v>20388522</v>
      </c>
      <c r="E135" s="4">
        <v>23365000</v>
      </c>
      <c r="F135" s="4">
        <v>0</v>
      </c>
      <c r="G135" s="4">
        <f>SUM(B135:F135)</f>
        <v>45589551</v>
      </c>
      <c r="H135" s="4">
        <v>56341401</v>
      </c>
      <c r="I135" s="4">
        <v>105869476</v>
      </c>
      <c r="J135" s="27">
        <f>G135/I135</f>
        <v>0.43062035179998437</v>
      </c>
      <c r="K135" s="29">
        <f>H135/I135</f>
        <v>0.53217795278404889</v>
      </c>
      <c r="L135" s="6">
        <v>650</v>
      </c>
      <c r="M135" s="7">
        <v>0.70099999999999996</v>
      </c>
      <c r="N135" s="10">
        <v>15.9</v>
      </c>
      <c r="O135" s="6">
        <v>74</v>
      </c>
      <c r="P135" s="10">
        <v>4.09</v>
      </c>
      <c r="Q135" s="6">
        <v>109</v>
      </c>
      <c r="R135" s="10">
        <v>3.93</v>
      </c>
      <c r="S135" s="6">
        <v>100</v>
      </c>
      <c r="T135" s="5">
        <f t="shared" si="2"/>
        <v>0.4567901234567901</v>
      </c>
    </row>
    <row r="136" spans="1:20" x14ac:dyDescent="0.2">
      <c r="A136" s="26">
        <v>2011</v>
      </c>
      <c r="B136" s="3" t="s">
        <v>14</v>
      </c>
      <c r="C136" s="4">
        <v>2184000</v>
      </c>
      <c r="D136" s="4">
        <v>28230000</v>
      </c>
      <c r="E136" s="4">
        <v>24939000</v>
      </c>
      <c r="F136" s="4">
        <v>0</v>
      </c>
      <c r="G136" s="4">
        <f>SUM(B136:F136)</f>
        <v>55353000</v>
      </c>
      <c r="H136" s="4">
        <v>41224418</v>
      </c>
      <c r="I136" s="4">
        <v>142245841</v>
      </c>
      <c r="J136" s="27">
        <f>G136/I136</f>
        <v>0.38913615759071646</v>
      </c>
      <c r="K136" s="29">
        <f>H136/I136</f>
        <v>0.28981106027556897</v>
      </c>
      <c r="L136" s="6">
        <v>718</v>
      </c>
      <c r="M136" s="7">
        <v>0.72499999999999998</v>
      </c>
      <c r="N136" s="10">
        <v>17.2</v>
      </c>
      <c r="O136" s="6">
        <v>77</v>
      </c>
      <c r="P136" s="10">
        <v>4.1900000000000004</v>
      </c>
      <c r="Q136" s="6">
        <v>113</v>
      </c>
      <c r="R136" s="10">
        <v>4</v>
      </c>
      <c r="S136" s="6">
        <v>106</v>
      </c>
      <c r="T136" s="5">
        <f t="shared" si="2"/>
        <v>0.47530864197530864</v>
      </c>
    </row>
    <row r="137" spans="1:20" x14ac:dyDescent="0.2">
      <c r="A137" s="26">
        <v>2019</v>
      </c>
      <c r="B137" s="3" t="s">
        <v>5</v>
      </c>
      <c r="C137" s="4">
        <v>11238651</v>
      </c>
      <c r="D137" s="4">
        <v>53233347</v>
      </c>
      <c r="E137" s="4">
        <v>17435234</v>
      </c>
      <c r="F137" s="4">
        <v>0</v>
      </c>
      <c r="G137" s="4">
        <f>SUM(B137:F137)</f>
        <v>81907232</v>
      </c>
      <c r="H137" s="4">
        <v>73950626</v>
      </c>
      <c r="I137" s="4">
        <v>172307808</v>
      </c>
      <c r="J137" s="27">
        <f>G137/I137</f>
        <v>0.47535415226221206</v>
      </c>
      <c r="K137" s="28">
        <f>H137/I137</f>
        <v>0.42917745201656793</v>
      </c>
      <c r="L137" s="8">
        <v>873</v>
      </c>
      <c r="M137" s="9">
        <v>0.79600000000000004</v>
      </c>
      <c r="N137" s="14">
        <v>26</v>
      </c>
      <c r="O137" s="8">
        <v>93</v>
      </c>
      <c r="P137" s="14">
        <v>4.28</v>
      </c>
      <c r="Q137" s="8">
        <v>95</v>
      </c>
      <c r="R137" s="14">
        <v>4.1399999999999997</v>
      </c>
      <c r="S137" s="8">
        <v>92</v>
      </c>
      <c r="T137" s="5">
        <f t="shared" si="2"/>
        <v>0.57407407407407407</v>
      </c>
    </row>
    <row r="138" spans="1:20" x14ac:dyDescent="0.2">
      <c r="A138" s="26">
        <v>2018</v>
      </c>
      <c r="B138" s="3" t="s">
        <v>5</v>
      </c>
      <c r="C138" s="4">
        <v>11294030</v>
      </c>
      <c r="D138" s="4">
        <v>28383131</v>
      </c>
      <c r="E138" s="4">
        <v>30973710</v>
      </c>
      <c r="F138" s="4">
        <v>0</v>
      </c>
      <c r="G138" s="4">
        <f>SUM(B138:F138)</f>
        <v>70650871</v>
      </c>
      <c r="H138" s="4">
        <v>59547108</v>
      </c>
      <c r="I138" s="4">
        <v>181382609</v>
      </c>
      <c r="J138" s="27">
        <f>G138/I138</f>
        <v>0.38951292733913645</v>
      </c>
      <c r="K138" s="28">
        <f>H138/I138</f>
        <v>0.32829557545949734</v>
      </c>
      <c r="L138" s="8">
        <v>771</v>
      </c>
      <c r="M138" s="9">
        <v>0.753</v>
      </c>
      <c r="N138" s="14">
        <v>23.8</v>
      </c>
      <c r="O138" s="8">
        <v>82</v>
      </c>
      <c r="P138" s="14">
        <v>4.04</v>
      </c>
      <c r="Q138" s="8">
        <v>98</v>
      </c>
      <c r="R138" s="14">
        <v>4.1500000000000004</v>
      </c>
      <c r="S138" s="8">
        <v>100</v>
      </c>
      <c r="T138" s="5">
        <f t="shared" si="2"/>
        <v>0.50617283950617287</v>
      </c>
    </row>
    <row r="139" spans="1:20" x14ac:dyDescent="0.2">
      <c r="A139" s="26">
        <v>2017</v>
      </c>
      <c r="B139" s="3" t="s">
        <v>5</v>
      </c>
      <c r="C139" s="4">
        <v>12302994</v>
      </c>
      <c r="D139" s="4">
        <v>38403001</v>
      </c>
      <c r="E139" s="4">
        <v>39888350</v>
      </c>
      <c r="F139" s="4">
        <v>0</v>
      </c>
      <c r="G139" s="4">
        <f>SUM(B139:F139)</f>
        <v>90594345</v>
      </c>
      <c r="H139" s="4">
        <v>74045507</v>
      </c>
      <c r="I139" s="4">
        <v>182338854</v>
      </c>
      <c r="J139" s="27">
        <f>G139/I139</f>
        <v>0.49684608086875437</v>
      </c>
      <c r="K139" s="28">
        <f>H139/I139</f>
        <v>0.40608737729589989</v>
      </c>
      <c r="L139" s="8">
        <v>819</v>
      </c>
      <c r="M139" s="9">
        <v>0.78200000000000003</v>
      </c>
      <c r="N139" s="14">
        <v>24.4</v>
      </c>
      <c r="O139" s="8">
        <v>97</v>
      </c>
      <c r="P139" s="14">
        <v>3.88</v>
      </c>
      <c r="Q139" s="8">
        <v>88</v>
      </c>
      <c r="R139" s="14">
        <v>3.99</v>
      </c>
      <c r="S139" s="8">
        <v>91</v>
      </c>
      <c r="T139" s="5">
        <f t="shared" si="2"/>
        <v>0.59876543209876543</v>
      </c>
    </row>
    <row r="140" spans="1:20" x14ac:dyDescent="0.2">
      <c r="A140" s="26">
        <v>2016</v>
      </c>
      <c r="B140" s="3" t="s">
        <v>5</v>
      </c>
      <c r="C140" s="4">
        <v>1387500</v>
      </c>
      <c r="D140" s="4">
        <v>31623077</v>
      </c>
      <c r="E140" s="4">
        <v>23741200</v>
      </c>
      <c r="F140" s="4">
        <v>0</v>
      </c>
      <c r="G140" s="4">
        <f>SUM(B140:F140)</f>
        <v>56751777</v>
      </c>
      <c r="H140" s="4">
        <v>62464681</v>
      </c>
      <c r="I140" s="4">
        <v>139383852</v>
      </c>
      <c r="J140" s="27">
        <f>G140/I140</f>
        <v>0.40716177796549918</v>
      </c>
      <c r="K140" s="29">
        <f>H140/I140</f>
        <v>0.44814862054465249</v>
      </c>
      <c r="L140" s="6">
        <v>763</v>
      </c>
      <c r="M140" s="7">
        <v>0.751</v>
      </c>
      <c r="N140" s="10">
        <v>22.3</v>
      </c>
      <c r="O140" s="6">
        <v>95</v>
      </c>
      <c r="P140" s="10">
        <v>3.52</v>
      </c>
      <c r="Q140" s="6">
        <v>83</v>
      </c>
      <c r="R140" s="10">
        <v>3.58</v>
      </c>
      <c r="S140" s="6">
        <v>87</v>
      </c>
      <c r="T140" s="5">
        <f t="shared" si="2"/>
        <v>0.5864197530864198</v>
      </c>
    </row>
    <row r="141" spans="1:20" x14ac:dyDescent="0.2">
      <c r="A141" s="26">
        <v>2015</v>
      </c>
      <c r="B141" s="3" t="s">
        <v>5</v>
      </c>
      <c r="C141" s="4">
        <v>4841516</v>
      </c>
      <c r="D141" s="4">
        <v>25111382</v>
      </c>
      <c r="E141" s="4">
        <v>36785012</v>
      </c>
      <c r="F141" s="4">
        <v>0</v>
      </c>
      <c r="G141" s="4">
        <f>SUM(B141:F141)</f>
        <v>66737910</v>
      </c>
      <c r="H141" s="4">
        <v>79271893</v>
      </c>
      <c r="I141" s="4">
        <v>165655095</v>
      </c>
      <c r="J141" s="27">
        <f>G141/I141</f>
        <v>0.4028726674540255</v>
      </c>
      <c r="K141" s="29">
        <f>H141/I141</f>
        <v>0.47853579752557568</v>
      </c>
      <c r="L141" s="6">
        <v>703</v>
      </c>
      <c r="M141" s="7">
        <v>0.72399999999999998</v>
      </c>
      <c r="N141" s="10">
        <v>17.899999999999999</v>
      </c>
      <c r="O141" s="6">
        <v>83</v>
      </c>
      <c r="P141" s="10">
        <v>3.62</v>
      </c>
      <c r="Q141" s="6">
        <v>92</v>
      </c>
      <c r="R141" s="10">
        <v>3.45</v>
      </c>
      <c r="S141" s="6">
        <v>90</v>
      </c>
      <c r="T141" s="5">
        <f t="shared" si="2"/>
        <v>0.51234567901234573</v>
      </c>
    </row>
    <row r="142" spans="1:20" x14ac:dyDescent="0.2">
      <c r="A142" s="26">
        <v>2014</v>
      </c>
      <c r="B142" s="3" t="s">
        <v>5</v>
      </c>
      <c r="C142" s="4">
        <v>3288655</v>
      </c>
      <c r="D142" s="4">
        <v>28399398</v>
      </c>
      <c r="E142" s="4">
        <v>44120333</v>
      </c>
      <c r="F142" s="4">
        <v>12000000</v>
      </c>
      <c r="G142" s="4">
        <f>SUM(B142:F142)</f>
        <v>87808386</v>
      </c>
      <c r="H142" s="4">
        <v>61448824</v>
      </c>
      <c r="I142" s="4">
        <v>149470982</v>
      </c>
      <c r="J142" s="27">
        <f>G142/I142</f>
        <v>0.587461089939183</v>
      </c>
      <c r="K142" s="29">
        <f>H142/I142</f>
        <v>0.41110871941685645</v>
      </c>
      <c r="L142" s="6">
        <v>686</v>
      </c>
      <c r="M142" s="7">
        <v>0.71399999999999997</v>
      </c>
      <c r="N142" s="10">
        <v>26.2</v>
      </c>
      <c r="O142" s="6">
        <v>96</v>
      </c>
      <c r="P142" s="10">
        <v>3.03</v>
      </c>
      <c r="Q142" s="6">
        <v>82</v>
      </c>
      <c r="R142" s="10">
        <v>3.18</v>
      </c>
      <c r="S142" s="6">
        <v>87</v>
      </c>
      <c r="T142" s="5">
        <f t="shared" si="2"/>
        <v>0.59259259259259256</v>
      </c>
    </row>
    <row r="143" spans="1:20" x14ac:dyDescent="0.2">
      <c r="A143" s="26">
        <v>2013</v>
      </c>
      <c r="B143" s="3" t="s">
        <v>5</v>
      </c>
      <c r="C143" s="4">
        <v>854691</v>
      </c>
      <c r="D143" s="4">
        <v>18613340</v>
      </c>
      <c r="E143" s="4">
        <v>28537000</v>
      </c>
      <c r="F143" s="4">
        <v>10000000</v>
      </c>
      <c r="G143" s="4">
        <f>SUM(B143:F143)</f>
        <v>58005031</v>
      </c>
      <c r="H143" s="4">
        <v>52756439</v>
      </c>
      <c r="I143" s="4">
        <v>116883274</v>
      </c>
      <c r="J143" s="27">
        <f>G143/I143</f>
        <v>0.49626459813232132</v>
      </c>
      <c r="K143" s="29">
        <f>H143/I143</f>
        <v>0.45136003804958441</v>
      </c>
      <c r="L143" s="6">
        <v>656</v>
      </c>
      <c r="M143" s="7">
        <v>0.71</v>
      </c>
      <c r="N143" s="10">
        <v>17.600000000000001</v>
      </c>
      <c r="O143" s="6">
        <v>86</v>
      </c>
      <c r="P143" s="10">
        <v>3.59</v>
      </c>
      <c r="Q143" s="6">
        <v>95</v>
      </c>
      <c r="R143" s="10">
        <v>3.55</v>
      </c>
      <c r="S143" s="6">
        <v>95</v>
      </c>
      <c r="T143" s="5">
        <f t="shared" si="2"/>
        <v>0.53086419753086422</v>
      </c>
    </row>
    <row r="144" spans="1:20" x14ac:dyDescent="0.2">
      <c r="A144" s="26">
        <v>2012</v>
      </c>
      <c r="B144" s="3" t="s">
        <v>5</v>
      </c>
      <c r="C144" s="4">
        <v>3480239</v>
      </c>
      <c r="D144" s="4">
        <v>18053000</v>
      </c>
      <c r="E144" s="4">
        <v>22137428</v>
      </c>
      <c r="F144" s="4">
        <v>8000000</v>
      </c>
      <c r="G144" s="4">
        <f>SUM(B144:F144)</f>
        <v>51670667</v>
      </c>
      <c r="H144" s="4">
        <v>44165381</v>
      </c>
      <c r="I144" s="4">
        <v>98256813</v>
      </c>
      <c r="J144" s="27">
        <f>G144/I144</f>
        <v>0.52587363076797533</v>
      </c>
      <c r="K144" s="29">
        <f>H144/I144</f>
        <v>0.44948924813997376</v>
      </c>
      <c r="L144" s="6">
        <v>731</v>
      </c>
      <c r="M144" s="7">
        <v>0.75</v>
      </c>
      <c r="N144" s="10">
        <v>23.7</v>
      </c>
      <c r="O144" s="6">
        <v>98</v>
      </c>
      <c r="P144" s="10">
        <v>3.34</v>
      </c>
      <c r="Q144" s="6">
        <v>84</v>
      </c>
      <c r="R144" s="10">
        <v>3.54</v>
      </c>
      <c r="S144" s="6">
        <v>92</v>
      </c>
      <c r="T144" s="5">
        <f t="shared" si="2"/>
        <v>0.60493827160493829</v>
      </c>
    </row>
    <row r="145" spans="1:20" x14ac:dyDescent="0.2">
      <c r="A145" s="26">
        <v>2011</v>
      </c>
      <c r="B145" s="3" t="s">
        <v>5</v>
      </c>
      <c r="C145" s="4">
        <v>4165000</v>
      </c>
      <c r="D145" s="4">
        <v>12608295</v>
      </c>
      <c r="E145" s="4">
        <v>19276928</v>
      </c>
      <c r="F145" s="4">
        <v>7000000</v>
      </c>
      <c r="G145" s="4">
        <f>SUM(B145:F145)</f>
        <v>43050223</v>
      </c>
      <c r="H145" s="4">
        <v>29938500</v>
      </c>
      <c r="I145" s="4">
        <v>74988723</v>
      </c>
      <c r="J145" s="27">
        <f>G145/I145</f>
        <v>0.57408929339948889</v>
      </c>
      <c r="K145" s="29">
        <f>H145/I145</f>
        <v>0.39924002973087036</v>
      </c>
      <c r="L145" s="6">
        <v>624</v>
      </c>
      <c r="M145" s="7">
        <v>0.69099999999999995</v>
      </c>
      <c r="N145" s="10">
        <v>16.600000000000001</v>
      </c>
      <c r="O145" s="6">
        <v>80</v>
      </c>
      <c r="P145" s="10">
        <v>3.58</v>
      </c>
      <c r="Q145" s="6">
        <v>94</v>
      </c>
      <c r="R145" s="10">
        <v>3.83</v>
      </c>
      <c r="S145" s="6">
        <v>100</v>
      </c>
      <c r="T145" s="5">
        <f t="shared" si="2"/>
        <v>0.49382716049382713</v>
      </c>
    </row>
    <row r="146" spans="1:20" x14ac:dyDescent="0.2">
      <c r="A146" s="26">
        <v>2019</v>
      </c>
      <c r="B146" s="3" t="s">
        <v>7</v>
      </c>
      <c r="C146" s="4">
        <v>1170596</v>
      </c>
      <c r="D146" s="4">
        <v>28570347</v>
      </c>
      <c r="E146" s="4">
        <v>1823824</v>
      </c>
      <c r="F146" s="4">
        <v>11000000</v>
      </c>
      <c r="G146" s="4">
        <f>SUM(B146:F146)</f>
        <v>42564767</v>
      </c>
      <c r="H146" s="4">
        <v>10236850</v>
      </c>
      <c r="I146" s="4">
        <v>73316689</v>
      </c>
      <c r="J146" s="27">
        <f>G146/I146</f>
        <v>0.58056040964970468</v>
      </c>
      <c r="K146" s="28">
        <f>H146/I146</f>
        <v>0.1396250995458892</v>
      </c>
      <c r="L146" s="8">
        <v>729</v>
      </c>
      <c r="M146" s="9">
        <v>0.72499999999999998</v>
      </c>
      <c r="N146" s="14">
        <v>6.4</v>
      </c>
      <c r="O146" s="8">
        <v>54</v>
      </c>
      <c r="P146" s="14">
        <v>5.67</v>
      </c>
      <c r="Q146" s="8">
        <v>121</v>
      </c>
      <c r="R146" s="14">
        <v>5.56</v>
      </c>
      <c r="S146" s="8">
        <v>116</v>
      </c>
      <c r="T146" s="5">
        <f t="shared" si="2"/>
        <v>0.33333333333333331</v>
      </c>
    </row>
    <row r="147" spans="1:20" x14ac:dyDescent="0.2">
      <c r="A147" s="26">
        <v>2018</v>
      </c>
      <c r="B147" s="3" t="s">
        <v>7</v>
      </c>
      <c r="C147" s="4">
        <v>1965912</v>
      </c>
      <c r="D147" s="4">
        <v>26167822</v>
      </c>
      <c r="E147" s="4">
        <v>18850873</v>
      </c>
      <c r="F147" s="4">
        <v>0</v>
      </c>
      <c r="G147" s="4">
        <f>SUM(B147:F147)</f>
        <v>46984607</v>
      </c>
      <c r="H147" s="4">
        <v>22653380</v>
      </c>
      <c r="I147" s="4">
        <v>130413607</v>
      </c>
      <c r="J147" s="27">
        <f>G147/I147</f>
        <v>0.36027380946529608</v>
      </c>
      <c r="K147" s="28">
        <f>H147/I147</f>
        <v>0.17370411355925461</v>
      </c>
      <c r="L147" s="8">
        <v>622</v>
      </c>
      <c r="M147" s="9">
        <v>0.68899999999999995</v>
      </c>
      <c r="N147" s="14">
        <v>0.8</v>
      </c>
      <c r="O147" s="8">
        <v>47</v>
      </c>
      <c r="P147" s="14">
        <v>5.19</v>
      </c>
      <c r="Q147" s="8">
        <v>119</v>
      </c>
      <c r="R147" s="14">
        <v>4.9800000000000004</v>
      </c>
      <c r="S147" s="8">
        <v>112</v>
      </c>
      <c r="T147" s="5">
        <f t="shared" si="2"/>
        <v>0.29012345679012347</v>
      </c>
    </row>
    <row r="148" spans="1:20" x14ac:dyDescent="0.2">
      <c r="A148" s="26">
        <v>2017</v>
      </c>
      <c r="B148" s="3" t="s">
        <v>7</v>
      </c>
      <c r="C148" s="4">
        <v>6790613</v>
      </c>
      <c r="D148" s="4">
        <v>54145030</v>
      </c>
      <c r="E148" s="4">
        <v>25162141</v>
      </c>
      <c r="F148" s="4">
        <v>10000000</v>
      </c>
      <c r="G148" s="4">
        <f>SUM(B148:F148)</f>
        <v>96097784</v>
      </c>
      <c r="H148" s="4">
        <v>67503842</v>
      </c>
      <c r="I148" s="4">
        <v>175295707</v>
      </c>
      <c r="J148" s="27">
        <f>G148/I148</f>
        <v>0.54820386445630409</v>
      </c>
      <c r="K148" s="28">
        <f>H148/I148</f>
        <v>0.38508554005831985</v>
      </c>
      <c r="L148" s="8">
        <v>743</v>
      </c>
      <c r="M148" s="9">
        <v>0.747</v>
      </c>
      <c r="N148" s="14">
        <v>11.3</v>
      </c>
      <c r="O148" s="8">
        <v>75</v>
      </c>
      <c r="P148" s="14">
        <v>4.97</v>
      </c>
      <c r="Q148" s="8">
        <v>112</v>
      </c>
      <c r="R148" s="14">
        <v>4.96</v>
      </c>
      <c r="S148" s="8">
        <v>108</v>
      </c>
      <c r="T148" s="5">
        <f t="shared" si="2"/>
        <v>0.46296296296296297</v>
      </c>
    </row>
    <row r="149" spans="1:20" x14ac:dyDescent="0.2">
      <c r="A149" s="26">
        <v>2016</v>
      </c>
      <c r="B149" s="3" t="s">
        <v>7</v>
      </c>
      <c r="C149" s="4">
        <f>15800000+523500</f>
        <v>16323500</v>
      </c>
      <c r="D149" s="4">
        <f>21118783+522500+5000000+1500000+12500000</f>
        <v>40641283</v>
      </c>
      <c r="E149" s="4">
        <f>16333333+2800000+1300000+9150000+507500</f>
        <v>30090833</v>
      </c>
      <c r="F149" s="4">
        <v>5750000</v>
      </c>
      <c r="G149" s="4">
        <f>SUM(B149:F149)</f>
        <v>92805616</v>
      </c>
      <c r="H149" s="4">
        <f>31579000+21535000</f>
        <v>53114000</v>
      </c>
      <c r="I149" s="4">
        <v>147693714</v>
      </c>
      <c r="J149" s="27">
        <f>G149/I149</f>
        <v>0.62836537511677715</v>
      </c>
      <c r="K149" s="29">
        <f>H149/I149</f>
        <v>0.35962261738505674</v>
      </c>
      <c r="L149" s="6">
        <v>744</v>
      </c>
      <c r="M149" s="7">
        <v>0.76</v>
      </c>
      <c r="N149" s="10">
        <v>20.7</v>
      </c>
      <c r="O149" s="6">
        <v>89</v>
      </c>
      <c r="P149" s="10">
        <v>4.22</v>
      </c>
      <c r="Q149" s="6">
        <v>100</v>
      </c>
      <c r="R149" s="10">
        <v>4.3099999999999996</v>
      </c>
      <c r="S149" s="6">
        <v>98</v>
      </c>
      <c r="T149" s="5">
        <f t="shared" si="2"/>
        <v>0.54938271604938271</v>
      </c>
    </row>
    <row r="150" spans="1:20" x14ac:dyDescent="0.2">
      <c r="A150" s="26">
        <v>2015</v>
      </c>
      <c r="B150" s="3" t="s">
        <v>7</v>
      </c>
      <c r="C150" s="4">
        <v>8989142</v>
      </c>
      <c r="D150" s="4">
        <v>25876755</v>
      </c>
      <c r="E150" s="4">
        <v>20701243</v>
      </c>
      <c r="F150" s="4">
        <v>36051</v>
      </c>
      <c r="G150" s="4">
        <f>SUM(B150:F150)</f>
        <v>55603191</v>
      </c>
      <c r="H150" s="4">
        <v>38355124</v>
      </c>
      <c r="I150" s="4">
        <v>117784476</v>
      </c>
      <c r="J150" s="27">
        <f>G150/I150</f>
        <v>0.4720757173466561</v>
      </c>
      <c r="K150" s="29">
        <f>H150/I150</f>
        <v>0.325638193610506</v>
      </c>
      <c r="L150" s="6">
        <v>713</v>
      </c>
      <c r="M150" s="7">
        <v>0.72799999999999998</v>
      </c>
      <c r="N150" s="10">
        <v>17.7</v>
      </c>
      <c r="O150" s="6">
        <v>81</v>
      </c>
      <c r="P150" s="10">
        <v>4.05</v>
      </c>
      <c r="Q150" s="6">
        <v>100</v>
      </c>
      <c r="R150" s="10">
        <v>4.1100000000000003</v>
      </c>
      <c r="S150" s="6">
        <v>98</v>
      </c>
      <c r="T150" s="5">
        <f t="shared" si="2"/>
        <v>0.5</v>
      </c>
    </row>
    <row r="151" spans="1:20" x14ac:dyDescent="0.2">
      <c r="A151" s="26">
        <v>2014</v>
      </c>
      <c r="B151" s="3" t="s">
        <v>7</v>
      </c>
      <c r="C151" s="4">
        <v>8849807</v>
      </c>
      <c r="D151" s="4">
        <v>21299773</v>
      </c>
      <c r="E151" s="4">
        <v>32360636</v>
      </c>
      <c r="F151" s="4">
        <v>8000000</v>
      </c>
      <c r="G151" s="4">
        <f>SUM(B151:F151)</f>
        <v>70510216</v>
      </c>
      <c r="H151" s="4">
        <v>34960102</v>
      </c>
      <c r="I151" s="4">
        <v>113562943</v>
      </c>
      <c r="J151" s="27">
        <f>G151/I151</f>
        <v>0.6208910595069731</v>
      </c>
      <c r="K151" s="29">
        <f>H151/I151</f>
        <v>0.307847798555203</v>
      </c>
      <c r="L151" s="6">
        <v>705</v>
      </c>
      <c r="M151" s="7">
        <v>0.73399999999999999</v>
      </c>
      <c r="N151" s="10">
        <v>27.4</v>
      </c>
      <c r="O151" s="6">
        <v>96</v>
      </c>
      <c r="P151" s="10">
        <v>3.44</v>
      </c>
      <c r="Q151" s="6">
        <v>88</v>
      </c>
      <c r="R151" s="10">
        <v>3.96</v>
      </c>
      <c r="S151" s="6">
        <v>101</v>
      </c>
      <c r="T151" s="5">
        <f t="shared" si="2"/>
        <v>0.59259259259259256</v>
      </c>
    </row>
    <row r="152" spans="1:20" x14ac:dyDescent="0.2">
      <c r="A152" s="26">
        <v>2013</v>
      </c>
      <c r="B152" s="3" t="s">
        <v>7</v>
      </c>
      <c r="C152" s="4">
        <v>6396644</v>
      </c>
      <c r="D152" s="4">
        <v>23841334</v>
      </c>
      <c r="E152" s="4">
        <v>29513522</v>
      </c>
      <c r="F152" s="4">
        <v>195464</v>
      </c>
      <c r="G152" s="4">
        <f>SUM(B152:F152)</f>
        <v>59946964</v>
      </c>
      <c r="H152" s="4">
        <v>36419055</v>
      </c>
      <c r="I152" s="4">
        <v>100415869</v>
      </c>
      <c r="J152" s="27">
        <f>G152/I152</f>
        <v>0.59698695631464382</v>
      </c>
      <c r="K152" s="29">
        <f>H152/I152</f>
        <v>0.36268226688353411</v>
      </c>
      <c r="L152" s="6">
        <v>745</v>
      </c>
      <c r="M152" s="7">
        <v>0.74399999999999999</v>
      </c>
      <c r="N152" s="10">
        <v>25.7</v>
      </c>
      <c r="O152" s="6">
        <v>85</v>
      </c>
      <c r="P152" s="10">
        <v>4.2</v>
      </c>
      <c r="Q152" s="6">
        <v>102</v>
      </c>
      <c r="R152" s="10">
        <v>4.33</v>
      </c>
      <c r="S152" s="6">
        <v>105</v>
      </c>
      <c r="T152" s="5">
        <f t="shared" si="2"/>
        <v>0.52469135802469136</v>
      </c>
    </row>
    <row r="153" spans="1:20" x14ac:dyDescent="0.2">
      <c r="A153" s="26">
        <v>2012</v>
      </c>
      <c r="B153" s="3" t="s">
        <v>7</v>
      </c>
      <c r="C153" s="4">
        <v>2469500</v>
      </c>
      <c r="D153" s="4">
        <v>29340786</v>
      </c>
      <c r="E153" s="4">
        <v>22800500</v>
      </c>
      <c r="F153" s="4">
        <v>0</v>
      </c>
      <c r="G153" s="4">
        <f>SUM(B153:F153)</f>
        <v>54610786</v>
      </c>
      <c r="H153" s="4">
        <v>25488595</v>
      </c>
      <c r="I153" s="4">
        <v>82932168</v>
      </c>
      <c r="J153" s="27">
        <f>G153/I153</f>
        <v>0.65849943775737296</v>
      </c>
      <c r="K153" s="29">
        <f>H153/I153</f>
        <v>0.30734268275731075</v>
      </c>
      <c r="L153" s="6">
        <v>712</v>
      </c>
      <c r="M153" s="7">
        <v>0.72799999999999998</v>
      </c>
      <c r="N153" s="10">
        <v>14.6</v>
      </c>
      <c r="O153" s="6">
        <v>93</v>
      </c>
      <c r="P153" s="10">
        <v>3.9</v>
      </c>
      <c r="Q153" s="6">
        <v>93</v>
      </c>
      <c r="R153" s="10">
        <v>4.2</v>
      </c>
      <c r="S153" s="6">
        <v>98</v>
      </c>
      <c r="T153" s="5">
        <f t="shared" si="2"/>
        <v>0.57407407407407407</v>
      </c>
    </row>
    <row r="154" spans="1:20" x14ac:dyDescent="0.2">
      <c r="A154" s="26">
        <v>2011</v>
      </c>
      <c r="B154" s="3" t="s">
        <v>7</v>
      </c>
      <c r="C154" s="4">
        <v>866250</v>
      </c>
      <c r="D154" s="4">
        <v>33465648</v>
      </c>
      <c r="E154" s="4">
        <v>24252823</v>
      </c>
      <c r="F154" s="4">
        <v>6824000</v>
      </c>
      <c r="G154" s="4">
        <f>SUM(B154:F154)</f>
        <v>65408721</v>
      </c>
      <c r="H154" s="4">
        <v>28983020</v>
      </c>
      <c r="I154" s="4">
        <v>94391741</v>
      </c>
      <c r="J154" s="27">
        <f>G154/I154</f>
        <v>0.69294961939519684</v>
      </c>
      <c r="K154" s="29">
        <f>H154/I154</f>
        <v>0.30705038060480311</v>
      </c>
      <c r="L154" s="6">
        <v>708</v>
      </c>
      <c r="M154" s="7">
        <v>0.72899999999999998</v>
      </c>
      <c r="N154" s="10">
        <v>12.3</v>
      </c>
      <c r="O154" s="6">
        <v>69</v>
      </c>
      <c r="P154" s="10">
        <v>4.92</v>
      </c>
      <c r="Q154" s="6">
        <v>117</v>
      </c>
      <c r="R154" s="10">
        <v>4.67</v>
      </c>
      <c r="S154" s="6">
        <v>111</v>
      </c>
      <c r="T154" s="5">
        <f t="shared" si="2"/>
        <v>0.42592592592592593</v>
      </c>
    </row>
    <row r="155" spans="1:20" x14ac:dyDescent="0.2">
      <c r="A155" s="26">
        <v>2019</v>
      </c>
      <c r="B155" s="3" t="s">
        <v>26</v>
      </c>
      <c r="C155" s="4">
        <v>2908646</v>
      </c>
      <c r="D155" s="4">
        <v>34943052</v>
      </c>
      <c r="E155" s="4">
        <v>8475104</v>
      </c>
      <c r="F155" s="4">
        <v>0</v>
      </c>
      <c r="G155" s="4">
        <f>SUM(B155:F155)</f>
        <v>46326802</v>
      </c>
      <c r="H155" s="4">
        <v>19674992</v>
      </c>
      <c r="I155" s="4">
        <v>104254790</v>
      </c>
      <c r="J155" s="27">
        <f>G155/I155</f>
        <v>0.44436137658519098</v>
      </c>
      <c r="K155" s="28">
        <f>H155/I155</f>
        <v>0.18872026887205853</v>
      </c>
      <c r="L155" s="8">
        <v>682</v>
      </c>
      <c r="M155" s="9">
        <v>0.71799999999999997</v>
      </c>
      <c r="N155" s="14">
        <v>13.4</v>
      </c>
      <c r="O155" s="8">
        <v>70</v>
      </c>
      <c r="P155" s="14">
        <v>4.63</v>
      </c>
      <c r="Q155" s="8">
        <v>109</v>
      </c>
      <c r="R155" s="14">
        <v>4.22</v>
      </c>
      <c r="S155" s="8">
        <v>96</v>
      </c>
      <c r="T155" s="5">
        <f t="shared" si="2"/>
        <v>0.43209876543209874</v>
      </c>
    </row>
    <row r="156" spans="1:20" x14ac:dyDescent="0.2">
      <c r="A156" s="26">
        <v>2018</v>
      </c>
      <c r="B156" s="3" t="s">
        <v>26</v>
      </c>
      <c r="C156" s="4">
        <v>1882210</v>
      </c>
      <c r="D156" s="4">
        <v>30251140</v>
      </c>
      <c r="E156" s="4">
        <v>6413100</v>
      </c>
      <c r="F156" s="4">
        <v>0</v>
      </c>
      <c r="G156" s="4">
        <f>SUM(B156:F156)</f>
        <v>38546450</v>
      </c>
      <c r="H156" s="4">
        <v>11623347</v>
      </c>
      <c r="I156" s="4">
        <v>103843635</v>
      </c>
      <c r="J156" s="27">
        <f>G156/I156</f>
        <v>0.37119704062747805</v>
      </c>
      <c r="K156" s="28">
        <f>H156/I156</f>
        <v>0.11193124162111621</v>
      </c>
      <c r="L156" s="8">
        <v>617</v>
      </c>
      <c r="M156" s="9">
        <v>0.67700000000000005</v>
      </c>
      <c r="N156" s="14">
        <v>8</v>
      </c>
      <c r="O156" s="8">
        <v>66</v>
      </c>
      <c r="P156" s="14">
        <v>4.41</v>
      </c>
      <c r="Q156" s="8">
        <v>113</v>
      </c>
      <c r="R156" s="14">
        <v>4.0999999999999996</v>
      </c>
      <c r="S156" s="8">
        <v>102</v>
      </c>
      <c r="T156" s="5">
        <f t="shared" si="2"/>
        <v>0.40740740740740738</v>
      </c>
    </row>
    <row r="157" spans="1:20" x14ac:dyDescent="0.2">
      <c r="A157" s="26">
        <v>2017</v>
      </c>
      <c r="B157" s="3" t="s">
        <v>26</v>
      </c>
      <c r="C157" s="4">
        <v>1863022</v>
      </c>
      <c r="D157" s="4">
        <v>10228471</v>
      </c>
      <c r="E157" s="4">
        <v>2411212</v>
      </c>
      <c r="F157" s="4">
        <v>0</v>
      </c>
      <c r="G157" s="4">
        <f>SUM(B157:F157)</f>
        <v>14502705</v>
      </c>
      <c r="H157" s="4">
        <v>10427719</v>
      </c>
      <c r="I157" s="4">
        <v>77921678</v>
      </c>
      <c r="J157" s="27">
        <f>G157/I157</f>
        <v>0.18611900272476165</v>
      </c>
      <c r="K157" s="28">
        <f>H157/I157</f>
        <v>0.13382308065799095</v>
      </c>
      <c r="L157" s="8">
        <v>604</v>
      </c>
      <c r="M157" s="9">
        <v>0.69199999999999995</v>
      </c>
      <c r="N157" s="14">
        <v>7</v>
      </c>
      <c r="O157" s="8">
        <v>71</v>
      </c>
      <c r="P157" s="14">
        <v>4.7</v>
      </c>
      <c r="Q157" s="8">
        <v>112</v>
      </c>
      <c r="R157" s="14">
        <v>4.68</v>
      </c>
      <c r="S157" s="8">
        <v>109</v>
      </c>
      <c r="T157" s="5">
        <f t="shared" si="2"/>
        <v>0.43827160493827161</v>
      </c>
    </row>
    <row r="158" spans="1:20" x14ac:dyDescent="0.2">
      <c r="A158" s="26">
        <v>2016</v>
      </c>
      <c r="B158" s="3" t="s">
        <v>26</v>
      </c>
      <c r="C158" s="4">
        <f>2925000+511200</f>
        <v>3436200</v>
      </c>
      <c r="D158" s="4">
        <f>523900+1350000+517700+800000+525500+3000000</f>
        <v>6717100</v>
      </c>
      <c r="E158" s="4">
        <f>6850000+16050000+1000000+18000000+507500</f>
        <v>42407500</v>
      </c>
      <c r="F158" s="4">
        <v>0</v>
      </c>
      <c r="G158" s="4">
        <f>SUM(B158:F158)</f>
        <v>52560800</v>
      </c>
      <c r="H158" s="4">
        <f>40142700+6787600</f>
        <v>46930300</v>
      </c>
      <c r="I158" s="4">
        <v>100509500</v>
      </c>
      <c r="J158" s="27">
        <f>G158/I158</f>
        <v>0.52294360234604687</v>
      </c>
      <c r="K158" s="29">
        <f>H158/I158</f>
        <v>0.466924022107363</v>
      </c>
      <c r="L158" s="6">
        <v>686</v>
      </c>
      <c r="M158" s="7">
        <v>0.68899999999999995</v>
      </c>
      <c r="N158" s="10">
        <v>11.1</v>
      </c>
      <c r="O158" s="6">
        <v>68</v>
      </c>
      <c r="P158" s="10">
        <v>4.4400000000000004</v>
      </c>
      <c r="Q158" s="6">
        <v>110</v>
      </c>
      <c r="R158" s="10">
        <v>4.4000000000000004</v>
      </c>
      <c r="S158" s="6">
        <v>107</v>
      </c>
      <c r="T158" s="5">
        <f t="shared" si="2"/>
        <v>0.41975308641975306</v>
      </c>
    </row>
    <row r="159" spans="1:20" x14ac:dyDescent="0.2">
      <c r="A159" s="26">
        <v>2015</v>
      </c>
      <c r="B159" s="3" t="s">
        <v>26</v>
      </c>
      <c r="C159" s="4">
        <v>1058046</v>
      </c>
      <c r="D159" s="4">
        <v>6349672</v>
      </c>
      <c r="E159" s="4">
        <v>32982963</v>
      </c>
      <c r="F159" s="4">
        <v>0</v>
      </c>
      <c r="G159" s="4">
        <f>SUM(B159:F159)</f>
        <v>40390681</v>
      </c>
      <c r="H159" s="4">
        <v>52821574</v>
      </c>
      <c r="I159" s="4">
        <v>107915272</v>
      </c>
      <c r="J159" s="27">
        <f>G159/I159</f>
        <v>0.37428141774039175</v>
      </c>
      <c r="K159" s="29">
        <f>H159/I159</f>
        <v>0.48947264850520877</v>
      </c>
      <c r="L159" s="6">
        <v>650</v>
      </c>
      <c r="M159" s="7">
        <v>0.68500000000000005</v>
      </c>
      <c r="N159" s="10">
        <v>16.399999999999999</v>
      </c>
      <c r="O159" s="6">
        <v>74</v>
      </c>
      <c r="P159" s="10">
        <v>4.09</v>
      </c>
      <c r="Q159" s="6">
        <v>110</v>
      </c>
      <c r="R159" s="10">
        <v>3.93</v>
      </c>
      <c r="S159" s="6">
        <v>103</v>
      </c>
      <c r="T159" s="5">
        <f t="shared" si="2"/>
        <v>0.4567901234567901</v>
      </c>
    </row>
    <row r="160" spans="1:20" x14ac:dyDescent="0.2">
      <c r="A160" s="26">
        <v>2014</v>
      </c>
      <c r="B160" s="3" t="s">
        <v>26</v>
      </c>
      <c r="C160" s="4">
        <v>1372170</v>
      </c>
      <c r="D160" s="4">
        <v>5365596</v>
      </c>
      <c r="E160" s="4">
        <v>23752261</v>
      </c>
      <c r="F160" s="4">
        <v>0</v>
      </c>
      <c r="G160" s="4">
        <f>SUM(B160:F160)</f>
        <v>30490027</v>
      </c>
      <c r="H160" s="4">
        <v>36806323</v>
      </c>
      <c r="I160" s="4">
        <v>85001967</v>
      </c>
      <c r="J160" s="27">
        <f>G160/I160</f>
        <v>0.35869789930861246</v>
      </c>
      <c r="K160" s="29">
        <f>H160/I160</f>
        <v>0.43300554444816552</v>
      </c>
      <c r="L160" s="6">
        <v>535</v>
      </c>
      <c r="M160" s="7">
        <v>0.63400000000000001</v>
      </c>
      <c r="N160" s="10">
        <v>11.7</v>
      </c>
      <c r="O160" s="6">
        <v>77</v>
      </c>
      <c r="P160" s="10">
        <v>3.27</v>
      </c>
      <c r="Q160" s="6">
        <v>94</v>
      </c>
      <c r="R160" s="10">
        <v>3.46</v>
      </c>
      <c r="S160" s="6">
        <v>96</v>
      </c>
      <c r="T160" s="5">
        <f t="shared" si="2"/>
        <v>0.47530864197530864</v>
      </c>
    </row>
    <row r="161" spans="1:20" x14ac:dyDescent="0.2">
      <c r="A161" s="26">
        <v>2013</v>
      </c>
      <c r="B161" s="3" t="s">
        <v>26</v>
      </c>
      <c r="C161" s="4">
        <v>4550778</v>
      </c>
      <c r="D161" s="4">
        <v>13163096</v>
      </c>
      <c r="E161" s="4">
        <v>18668715</v>
      </c>
      <c r="F161" s="4">
        <v>0</v>
      </c>
      <c r="G161" s="4">
        <f>SUM(B161:F161)</f>
        <v>36382589</v>
      </c>
      <c r="H161" s="4">
        <v>27233305</v>
      </c>
      <c r="I161" s="4">
        <v>73286341</v>
      </c>
      <c r="J161" s="27">
        <f>G161/I161</f>
        <v>0.49644433742435035</v>
      </c>
      <c r="K161" s="29">
        <f>H161/I161</f>
        <v>0.3716013738494599</v>
      </c>
      <c r="L161" s="6">
        <v>618</v>
      </c>
      <c r="M161" s="7">
        <v>0.68600000000000005</v>
      </c>
      <c r="N161" s="10">
        <v>18.600000000000001</v>
      </c>
      <c r="O161" s="6">
        <v>76</v>
      </c>
      <c r="P161" s="10">
        <v>3.98</v>
      </c>
      <c r="Q161" s="6">
        <v>112</v>
      </c>
      <c r="R161" s="10">
        <v>4</v>
      </c>
      <c r="S161" s="6">
        <v>108</v>
      </c>
      <c r="T161" s="5">
        <f t="shared" si="2"/>
        <v>0.46913580246913578</v>
      </c>
    </row>
    <row r="162" spans="1:20" x14ac:dyDescent="0.2">
      <c r="A162" s="26">
        <v>2012</v>
      </c>
      <c r="B162" s="3" t="s">
        <v>26</v>
      </c>
      <c r="C162" s="4">
        <v>2750000</v>
      </c>
      <c r="D162" s="4">
        <v>18284000</v>
      </c>
      <c r="E162" s="4">
        <v>12807400</v>
      </c>
      <c r="F162" s="4">
        <v>0</v>
      </c>
      <c r="G162" s="4">
        <f>SUM(B162:F162)</f>
        <v>33841400</v>
      </c>
      <c r="H162" s="4">
        <v>26220513</v>
      </c>
      <c r="I162" s="4">
        <v>63839413</v>
      </c>
      <c r="J162" s="27">
        <f>G162/I162</f>
        <v>0.53010199200923103</v>
      </c>
      <c r="K162" s="29">
        <f>H162/I162</f>
        <v>0.41072609799842613</v>
      </c>
      <c r="L162" s="6">
        <v>651</v>
      </c>
      <c r="M162" s="7">
        <v>0.69899999999999995</v>
      </c>
      <c r="N162" s="10">
        <v>21.6</v>
      </c>
      <c r="O162" s="6">
        <v>76</v>
      </c>
      <c r="P162" s="10">
        <v>4.01</v>
      </c>
      <c r="Q162" s="6">
        <v>110</v>
      </c>
      <c r="R162" s="10">
        <v>4.1100000000000003</v>
      </c>
      <c r="S162" s="6">
        <v>109</v>
      </c>
      <c r="T162" s="5">
        <f t="shared" si="2"/>
        <v>0.46913580246913578</v>
      </c>
    </row>
    <row r="163" spans="1:20" x14ac:dyDescent="0.2">
      <c r="A163" s="26">
        <v>2011</v>
      </c>
      <c r="B163" s="3" t="s">
        <v>26</v>
      </c>
      <c r="C163" s="4">
        <v>861600</v>
      </c>
      <c r="D163" s="4">
        <v>13167111</v>
      </c>
      <c r="E163" s="4">
        <v>12192468</v>
      </c>
      <c r="F163" s="4">
        <v>0</v>
      </c>
      <c r="G163" s="4">
        <f>SUM(B163:F163)</f>
        <v>26221179</v>
      </c>
      <c r="H163" s="4">
        <v>21197631</v>
      </c>
      <c r="I163" s="4">
        <v>48018810</v>
      </c>
      <c r="J163" s="27">
        <f>G163/I163</f>
        <v>0.54606057501216709</v>
      </c>
      <c r="K163" s="29">
        <f>H163/I163</f>
        <v>0.44144432150650964</v>
      </c>
      <c r="L163" s="6">
        <v>593</v>
      </c>
      <c r="M163" s="7">
        <v>0.65300000000000002</v>
      </c>
      <c r="N163" s="10">
        <v>15</v>
      </c>
      <c r="O163" s="6">
        <v>71</v>
      </c>
      <c r="P163" s="10">
        <v>3.43</v>
      </c>
      <c r="Q163" s="6">
        <v>97</v>
      </c>
      <c r="R163" s="10">
        <v>3.73</v>
      </c>
      <c r="S163" s="6">
        <v>100</v>
      </c>
      <c r="T163" s="5">
        <f t="shared" si="2"/>
        <v>0.43827160493827161</v>
      </c>
    </row>
    <row r="164" spans="1:20" x14ac:dyDescent="0.2">
      <c r="A164" s="26">
        <v>2019</v>
      </c>
      <c r="B164" s="3" t="s">
        <v>21</v>
      </c>
      <c r="C164" s="4">
        <v>6551536</v>
      </c>
      <c r="D164" s="4">
        <v>31660922</v>
      </c>
      <c r="E164" s="4">
        <v>13176658</v>
      </c>
      <c r="F164" s="4">
        <v>252672</v>
      </c>
      <c r="G164" s="4">
        <f>SUM(B164:F164)</f>
        <v>51641788</v>
      </c>
      <c r="H164" s="4">
        <v>31616794</v>
      </c>
      <c r="I164" s="4">
        <v>160192244</v>
      </c>
      <c r="J164" s="27">
        <f>G164/I164</f>
        <v>0.32237383477816817</v>
      </c>
      <c r="K164" s="28">
        <f>H164/I164</f>
        <v>0.19736782012991841</v>
      </c>
      <c r="L164" s="8">
        <v>774</v>
      </c>
      <c r="M164" s="9">
        <v>0.746</v>
      </c>
      <c r="N164" s="14">
        <v>20.8</v>
      </c>
      <c r="O164" s="8">
        <v>81</v>
      </c>
      <c r="P164" s="14">
        <v>4.53</v>
      </c>
      <c r="Q164" s="8">
        <v>103</v>
      </c>
      <c r="R164" s="14">
        <v>4.88</v>
      </c>
      <c r="S164" s="8">
        <v>108</v>
      </c>
      <c r="T164" s="5">
        <f t="shared" si="2"/>
        <v>0.5</v>
      </c>
    </row>
    <row r="165" spans="1:20" x14ac:dyDescent="0.2">
      <c r="A165" s="26">
        <v>2018</v>
      </c>
      <c r="B165" s="3" t="s">
        <v>21</v>
      </c>
      <c r="C165" s="4">
        <v>4547844</v>
      </c>
      <c r="D165" s="4">
        <v>23879084</v>
      </c>
      <c r="E165" s="4">
        <v>5417376</v>
      </c>
      <c r="F165" s="4">
        <v>0</v>
      </c>
      <c r="G165" s="4">
        <f>SUM(B165:F165)</f>
        <v>33844304</v>
      </c>
      <c r="H165" s="4">
        <v>54653524</v>
      </c>
      <c r="I165" s="4">
        <v>95778952</v>
      </c>
      <c r="J165" s="27">
        <f>G165/I165</f>
        <v>0.35335847065856391</v>
      </c>
      <c r="K165" s="28">
        <f>H165/I165</f>
        <v>0.57062144509578683</v>
      </c>
      <c r="L165" s="8">
        <v>677</v>
      </c>
      <c r="M165" s="9">
        <v>0.70699999999999996</v>
      </c>
      <c r="N165" s="14">
        <v>12.2</v>
      </c>
      <c r="O165" s="8">
        <v>80</v>
      </c>
      <c r="P165" s="14">
        <v>4.1500000000000004</v>
      </c>
      <c r="Q165" s="8">
        <v>103</v>
      </c>
      <c r="R165" s="14">
        <v>3.83</v>
      </c>
      <c r="S165" s="8">
        <v>92</v>
      </c>
      <c r="T165" s="5">
        <f t="shared" si="2"/>
        <v>0.49382716049382713</v>
      </c>
    </row>
    <row r="166" spans="1:20" x14ac:dyDescent="0.2">
      <c r="A166" s="26">
        <v>2017</v>
      </c>
      <c r="B166" s="3" t="s">
        <v>21</v>
      </c>
      <c r="C166" s="4">
        <v>1272457</v>
      </c>
      <c r="D166" s="4">
        <v>11519385</v>
      </c>
      <c r="E166" s="4">
        <v>4310724</v>
      </c>
      <c r="F166" s="4">
        <v>0</v>
      </c>
      <c r="G166" s="4">
        <f>SUM(B166:F166)</f>
        <v>17102566</v>
      </c>
      <c r="H166" s="4">
        <v>6033368</v>
      </c>
      <c r="I166" s="4">
        <v>104020808</v>
      </c>
      <c r="J166" s="27">
        <f>G166/I166</f>
        <v>0.16441485438182715</v>
      </c>
      <c r="K166" s="28">
        <f>H166/I166</f>
        <v>5.8001549074681288E-2</v>
      </c>
      <c r="L166" s="8">
        <v>690</v>
      </c>
      <c r="M166" s="9">
        <v>0.72299999999999998</v>
      </c>
      <c r="N166" s="14">
        <v>10.4</v>
      </c>
      <c r="O166" s="8">
        <v>66</v>
      </c>
      <c r="P166" s="14">
        <v>4.57</v>
      </c>
      <c r="Q166" s="8">
        <v>105</v>
      </c>
      <c r="R166" s="14">
        <v>4.5599999999999996</v>
      </c>
      <c r="S166" s="8">
        <v>103</v>
      </c>
      <c r="T166" s="5">
        <f t="shared" si="2"/>
        <v>0.40740740740740738</v>
      </c>
    </row>
    <row r="167" spans="1:20" x14ac:dyDescent="0.2">
      <c r="A167" s="26">
        <v>2016</v>
      </c>
      <c r="B167" s="3" t="s">
        <v>21</v>
      </c>
      <c r="C167" s="4">
        <f>8500000+518000</f>
        <v>9018000</v>
      </c>
      <c r="D167" s="4">
        <f>25000000+525000+517500+2000000+527000+925000</f>
        <v>29494500</v>
      </c>
      <c r="E167" s="4">
        <f>528000+530000+507500+507500+1450000</f>
        <v>3523000</v>
      </c>
      <c r="F167" s="4">
        <v>0</v>
      </c>
      <c r="G167" s="4">
        <f>SUM(B167:F167)</f>
        <v>42035500</v>
      </c>
      <c r="H167" s="4">
        <f>16549500+9367000</f>
        <v>25916500</v>
      </c>
      <c r="I167" s="4">
        <v>95846667</v>
      </c>
      <c r="J167" s="27">
        <f>G167/I167</f>
        <v>0.43857028434802015</v>
      </c>
      <c r="K167" s="29">
        <f>H167/I167</f>
        <v>0.27039542230508651</v>
      </c>
      <c r="L167" s="15">
        <v>610</v>
      </c>
      <c r="M167" s="16">
        <v>0.68500000000000005</v>
      </c>
      <c r="N167" s="20">
        <v>9.4</v>
      </c>
      <c r="O167" s="6">
        <v>71</v>
      </c>
      <c r="P167" s="10">
        <v>4.6399999999999997</v>
      </c>
      <c r="Q167" s="6">
        <v>112</v>
      </c>
      <c r="R167" s="10">
        <v>4.34</v>
      </c>
      <c r="S167" s="6">
        <v>103</v>
      </c>
      <c r="T167" s="5">
        <f t="shared" si="2"/>
        <v>0.43827160493827161</v>
      </c>
    </row>
    <row r="168" spans="1:20" x14ac:dyDescent="0.2">
      <c r="A168" s="26">
        <v>2015</v>
      </c>
      <c r="B168" s="3" t="s">
        <v>21</v>
      </c>
      <c r="C168" s="4">
        <v>9099516</v>
      </c>
      <c r="D168" s="4">
        <v>27452556</v>
      </c>
      <c r="E168" s="4">
        <v>4712635</v>
      </c>
      <c r="F168" s="4">
        <v>0</v>
      </c>
      <c r="G168" s="4">
        <f>SUM(B168:F168)</f>
        <v>41264707</v>
      </c>
      <c r="H168" s="4">
        <v>11535624</v>
      </c>
      <c r="I168" s="4">
        <v>141722639</v>
      </c>
      <c r="J168" s="27">
        <f>G168/I168</f>
        <v>0.29116524565986951</v>
      </c>
      <c r="K168" s="29">
        <f>H168/I168</f>
        <v>8.1395774742805918E-2</v>
      </c>
      <c r="L168" s="17">
        <v>626</v>
      </c>
      <c r="M168" s="18">
        <v>0.68400000000000005</v>
      </c>
      <c r="N168" s="19">
        <v>8.8000000000000007</v>
      </c>
      <c r="O168" s="6">
        <v>63</v>
      </c>
      <c r="P168" s="10">
        <v>4.6900000000000004</v>
      </c>
      <c r="Q168" s="6">
        <v>120</v>
      </c>
      <c r="R168" s="10">
        <v>4.4000000000000004</v>
      </c>
      <c r="S168" s="6">
        <v>110</v>
      </c>
      <c r="T168" s="5">
        <f t="shared" si="2"/>
        <v>0.3888888888888889</v>
      </c>
    </row>
    <row r="169" spans="1:20" x14ac:dyDescent="0.2">
      <c r="A169" s="26">
        <v>2014</v>
      </c>
      <c r="B169" s="3" t="s">
        <v>21</v>
      </c>
      <c r="C169" s="4">
        <v>9706967</v>
      </c>
      <c r="D169" s="4">
        <v>52682239</v>
      </c>
      <c r="E169" s="4">
        <v>12118579</v>
      </c>
      <c r="F169" s="4">
        <v>0</v>
      </c>
      <c r="G169" s="4">
        <f>SUM(B169:F169)</f>
        <v>74507785</v>
      </c>
      <c r="H169" s="4">
        <v>70615229</v>
      </c>
      <c r="I169" s="4">
        <v>175061605</v>
      </c>
      <c r="J169" s="27">
        <f>G169/I169</f>
        <v>0.42560894491970414</v>
      </c>
      <c r="K169" s="29">
        <f>H169/I169</f>
        <v>0.40337359525522459</v>
      </c>
      <c r="L169" s="17">
        <v>619</v>
      </c>
      <c r="M169" s="18">
        <v>0.66500000000000004</v>
      </c>
      <c r="N169" s="19">
        <v>11.6</v>
      </c>
      <c r="O169" s="6">
        <v>73</v>
      </c>
      <c r="P169" s="10">
        <v>3.81</v>
      </c>
      <c r="Q169" s="6">
        <v>105</v>
      </c>
      <c r="R169" s="10">
        <v>3.81</v>
      </c>
      <c r="S169" s="6">
        <v>101</v>
      </c>
      <c r="T169" s="5">
        <f t="shared" si="2"/>
        <v>0.45061728395061729</v>
      </c>
    </row>
    <row r="170" spans="1:20" x14ac:dyDescent="0.2">
      <c r="A170" s="26">
        <v>2013</v>
      </c>
      <c r="B170" s="3" t="s">
        <v>21</v>
      </c>
      <c r="C170" s="4">
        <v>6470972</v>
      </c>
      <c r="D170" s="4">
        <v>47861340</v>
      </c>
      <c r="E170" s="4">
        <v>3301802</v>
      </c>
      <c r="F170" s="4">
        <v>0</v>
      </c>
      <c r="G170" s="4">
        <f>SUM(B170:F170)</f>
        <v>57634114</v>
      </c>
      <c r="H170" s="4">
        <v>95639147</v>
      </c>
      <c r="I170" s="4">
        <v>163536898</v>
      </c>
      <c r="J170" s="27">
        <f>G170/I170</f>
        <v>0.35242269301206874</v>
      </c>
      <c r="K170" s="29">
        <f>H170/I170</f>
        <v>0.58481693226197795</v>
      </c>
      <c r="L170" s="17">
        <v>610</v>
      </c>
      <c r="M170" s="18">
        <v>0.69</v>
      </c>
      <c r="N170" s="19">
        <v>8.9</v>
      </c>
      <c r="O170" s="6">
        <v>73</v>
      </c>
      <c r="P170" s="10">
        <v>4.34</v>
      </c>
      <c r="Q170" s="6">
        <v>116</v>
      </c>
      <c r="R170" s="10">
        <v>3.94</v>
      </c>
      <c r="S170" s="6">
        <v>103</v>
      </c>
      <c r="T170" s="5">
        <f t="shared" si="2"/>
        <v>0.45061728395061729</v>
      </c>
    </row>
    <row r="171" spans="1:20" x14ac:dyDescent="0.2">
      <c r="A171" s="26">
        <v>2012</v>
      </c>
      <c r="B171" s="3" t="s">
        <v>21</v>
      </c>
      <c r="C171" s="4">
        <v>5460000</v>
      </c>
      <c r="D171" s="4">
        <v>57495684</v>
      </c>
      <c r="E171" s="4">
        <v>14266748</v>
      </c>
      <c r="F171" s="4">
        <v>1250000</v>
      </c>
      <c r="G171" s="4">
        <f>SUM(B171:F171)</f>
        <v>78472432</v>
      </c>
      <c r="H171" s="4">
        <v>91110058</v>
      </c>
      <c r="I171" s="4">
        <v>179900523</v>
      </c>
      <c r="J171" s="27">
        <f>G171/I171</f>
        <v>0.43619902094448054</v>
      </c>
      <c r="K171" s="29">
        <f>H171/I171</f>
        <v>0.50644687675532774</v>
      </c>
      <c r="L171" s="17">
        <v>684</v>
      </c>
      <c r="M171" s="18">
        <v>0.71599999999999997</v>
      </c>
      <c r="N171" s="19">
        <v>21.5</v>
      </c>
      <c r="O171" s="6">
        <v>81</v>
      </c>
      <c r="P171" s="10">
        <v>3.86</v>
      </c>
      <c r="Q171" s="6">
        <v>98</v>
      </c>
      <c r="R171" s="10">
        <v>3.72</v>
      </c>
      <c r="S171" s="6">
        <v>93</v>
      </c>
      <c r="T171" s="5">
        <f t="shared" si="2"/>
        <v>0.5</v>
      </c>
    </row>
    <row r="172" spans="1:20" x14ac:dyDescent="0.2">
      <c r="A172" s="26">
        <v>2011</v>
      </c>
      <c r="B172" s="3" t="s">
        <v>21</v>
      </c>
      <c r="C172" s="4">
        <v>4989000</v>
      </c>
      <c r="D172" s="4">
        <v>52951381</v>
      </c>
      <c r="E172" s="4">
        <v>9553000</v>
      </c>
      <c r="F172" s="4">
        <v>12581168</v>
      </c>
      <c r="G172" s="4">
        <f>SUM(B172:F172)</f>
        <v>80074549</v>
      </c>
      <c r="H172" s="4">
        <v>89775333</v>
      </c>
      <c r="I172" s="4">
        <v>170018182</v>
      </c>
      <c r="J172" s="27">
        <f>G172/I172</f>
        <v>0.47097638651376711</v>
      </c>
      <c r="K172" s="29">
        <f>H172/I172</f>
        <v>0.52803371935832133</v>
      </c>
      <c r="L172" s="17">
        <v>713</v>
      </c>
      <c r="M172" s="18">
        <v>0.71699999999999997</v>
      </c>
      <c r="N172" s="19">
        <v>19</v>
      </c>
      <c r="O172" s="6">
        <v>102</v>
      </c>
      <c r="P172" s="10">
        <v>3.02</v>
      </c>
      <c r="Q172" s="6">
        <v>79</v>
      </c>
      <c r="R172" s="10">
        <v>3.24</v>
      </c>
      <c r="S172" s="6">
        <v>83</v>
      </c>
      <c r="T172" s="5">
        <f t="shared" si="2"/>
        <v>0.62962962962962965</v>
      </c>
    </row>
    <row r="173" spans="1:20" x14ac:dyDescent="0.2">
      <c r="A173" s="26">
        <v>2019</v>
      </c>
      <c r="B173" s="3" t="s">
        <v>23</v>
      </c>
      <c r="C173" s="4">
        <v>1195732</v>
      </c>
      <c r="D173" s="4">
        <v>3757545</v>
      </c>
      <c r="E173" s="4">
        <v>12339150</v>
      </c>
      <c r="F173" s="4">
        <v>0</v>
      </c>
      <c r="G173" s="4">
        <f>SUM(B173:F173)</f>
        <v>17292427</v>
      </c>
      <c r="H173" s="4">
        <v>10936681</v>
      </c>
      <c r="I173" s="4">
        <v>72731474</v>
      </c>
      <c r="J173" s="27">
        <f>G173/I173</f>
        <v>0.23775713661461062</v>
      </c>
      <c r="K173" s="28">
        <f>H173/I173</f>
        <v>0.15037067721190417</v>
      </c>
      <c r="L173" s="8">
        <v>758</v>
      </c>
      <c r="M173" s="9">
        <v>0.74099999999999999</v>
      </c>
      <c r="N173" s="14">
        <v>10.9</v>
      </c>
      <c r="O173" s="8">
        <v>69</v>
      </c>
      <c r="P173" s="14">
        <v>5.19</v>
      </c>
      <c r="Q173" s="8">
        <v>120</v>
      </c>
      <c r="R173" s="14">
        <v>4.78</v>
      </c>
      <c r="S173" s="8">
        <v>108</v>
      </c>
      <c r="T173" s="5">
        <f t="shared" si="2"/>
        <v>0.42592592592592593</v>
      </c>
    </row>
    <row r="174" spans="1:20" x14ac:dyDescent="0.2">
      <c r="A174" s="26">
        <v>2018</v>
      </c>
      <c r="B174" s="3" t="s">
        <v>23</v>
      </c>
      <c r="C174" s="4">
        <v>11346140</v>
      </c>
      <c r="D174" s="4">
        <v>21765040</v>
      </c>
      <c r="E174" s="4">
        <v>13988433</v>
      </c>
      <c r="F174" s="4">
        <v>0</v>
      </c>
      <c r="G174" s="4">
        <f>SUM(B174:F174)</f>
        <v>47099613</v>
      </c>
      <c r="H174" s="4">
        <v>20476802</v>
      </c>
      <c r="I174" s="4">
        <v>91025861</v>
      </c>
      <c r="J174" s="27">
        <f>G174/I174</f>
        <v>0.51743111773477213</v>
      </c>
      <c r="K174" s="28">
        <f>H174/I174</f>
        <v>0.22495587270523043</v>
      </c>
      <c r="L174" s="8">
        <v>692</v>
      </c>
      <c r="M174" s="9">
        <v>0.72499999999999998</v>
      </c>
      <c r="N174" s="14">
        <v>17.7</v>
      </c>
      <c r="O174" s="8">
        <v>82</v>
      </c>
      <c r="P174" s="14">
        <v>4</v>
      </c>
      <c r="Q174" s="8">
        <v>101</v>
      </c>
      <c r="R174" s="14">
        <v>4.0599999999999996</v>
      </c>
      <c r="S174" s="8">
        <v>100</v>
      </c>
      <c r="T174" s="5">
        <f t="shared" si="2"/>
        <v>0.50617283950617287</v>
      </c>
    </row>
    <row r="175" spans="1:20" x14ac:dyDescent="0.2">
      <c r="A175" s="26">
        <v>2017</v>
      </c>
      <c r="B175" s="3" t="s">
        <v>23</v>
      </c>
      <c r="C175" s="4">
        <v>1785836</v>
      </c>
      <c r="D175" s="4">
        <v>14082485</v>
      </c>
      <c r="E175" s="4">
        <v>23166329</v>
      </c>
      <c r="F175" s="4">
        <v>0</v>
      </c>
      <c r="G175" s="4">
        <f>SUM(B175:F175)</f>
        <v>39034650</v>
      </c>
      <c r="H175" s="4">
        <v>25161663</v>
      </c>
      <c r="I175" s="4">
        <v>98203030</v>
      </c>
      <c r="J175" s="27">
        <f>G175/I175</f>
        <v>0.39748926280584213</v>
      </c>
      <c r="K175" s="28">
        <f>H175/I175</f>
        <v>0.25622084165834802</v>
      </c>
      <c r="L175" s="8">
        <v>668</v>
      </c>
      <c r="M175" s="9">
        <v>0.70399999999999996</v>
      </c>
      <c r="N175" s="14">
        <v>10</v>
      </c>
      <c r="O175" s="8">
        <v>75</v>
      </c>
      <c r="P175" s="14">
        <v>4.2300000000000004</v>
      </c>
      <c r="Q175" s="8">
        <v>99</v>
      </c>
      <c r="R175" s="14">
        <v>4.2300000000000004</v>
      </c>
      <c r="S175" s="8">
        <v>98</v>
      </c>
      <c r="T175" s="5">
        <f t="shared" si="2"/>
        <v>0.46296296296296297</v>
      </c>
    </row>
    <row r="176" spans="1:20" x14ac:dyDescent="0.2">
      <c r="A176" s="26">
        <v>2016</v>
      </c>
      <c r="B176" s="3" t="s">
        <v>23</v>
      </c>
      <c r="C176" s="4">
        <f>3500000+1350000+510000</f>
        <v>5360000</v>
      </c>
      <c r="D176" s="4">
        <f>4000000+2500000+5250000+3000000+2500000+2075000+1000000+535000</f>
        <v>20860000</v>
      </c>
      <c r="E176" s="4">
        <f>13208333+3333333+535000</f>
        <v>17076666</v>
      </c>
      <c r="F176" s="4">
        <v>0</v>
      </c>
      <c r="G176" s="4">
        <f>SUM(B176:F176)</f>
        <v>43296666</v>
      </c>
      <c r="H176" s="4">
        <f>31289667+21227500</f>
        <v>52517167</v>
      </c>
      <c r="I176" s="4">
        <v>99945500</v>
      </c>
      <c r="J176" s="27">
        <f>G176/I176</f>
        <v>0.43320275550174847</v>
      </c>
      <c r="K176" s="29">
        <f>H176/I176</f>
        <v>0.52545804463432566</v>
      </c>
      <c r="L176" s="6">
        <v>729</v>
      </c>
      <c r="M176" s="7">
        <v>0.73399999999999999</v>
      </c>
      <c r="N176" s="10">
        <v>18.8</v>
      </c>
      <c r="O176" s="6">
        <v>78</v>
      </c>
      <c r="P176" s="10">
        <v>4.22</v>
      </c>
      <c r="Q176" s="6">
        <v>104</v>
      </c>
      <c r="R176" s="10">
        <v>4.3</v>
      </c>
      <c r="S176" s="6">
        <v>105</v>
      </c>
      <c r="T176" s="5">
        <f t="shared" si="2"/>
        <v>0.48148148148148145</v>
      </c>
    </row>
    <row r="177" spans="1:20" x14ac:dyDescent="0.2">
      <c r="A177" s="26">
        <v>2015</v>
      </c>
      <c r="B177" s="3" t="s">
        <v>23</v>
      </c>
      <c r="C177" s="4">
        <v>2304016</v>
      </c>
      <c r="D177" s="4">
        <v>22961824</v>
      </c>
      <c r="E177" s="4">
        <v>15607920</v>
      </c>
      <c r="F177" s="4">
        <v>0</v>
      </c>
      <c r="G177" s="4">
        <f>SUM(B177:F177)</f>
        <v>40873760</v>
      </c>
      <c r="H177" s="4">
        <v>41030270</v>
      </c>
      <c r="I177" s="4">
        <v>99435606</v>
      </c>
      <c r="J177" s="27">
        <f>G177/I177</f>
        <v>0.41105758434257444</v>
      </c>
      <c r="K177" s="29">
        <f>H177/I177</f>
        <v>0.41263156781083027</v>
      </c>
      <c r="L177" s="6">
        <v>697</v>
      </c>
      <c r="M177" s="7">
        <v>0.71899999999999997</v>
      </c>
      <c r="N177" s="10">
        <v>24</v>
      </c>
      <c r="O177" s="6">
        <v>98</v>
      </c>
      <c r="P177" s="10">
        <v>3.23</v>
      </c>
      <c r="Q177" s="6">
        <v>84</v>
      </c>
      <c r="R177" s="10">
        <v>3.36</v>
      </c>
      <c r="S177" s="6">
        <v>88</v>
      </c>
      <c r="T177" s="5">
        <f t="shared" si="2"/>
        <v>0.60493827160493829</v>
      </c>
    </row>
    <row r="178" spans="1:20" x14ac:dyDescent="0.2">
      <c r="A178" s="26">
        <v>2014</v>
      </c>
      <c r="B178" s="3" t="s">
        <v>23</v>
      </c>
      <c r="C178" s="4">
        <v>10713327</v>
      </c>
      <c r="D178" s="4">
        <v>18588062</v>
      </c>
      <c r="E178" s="4">
        <v>9930053</v>
      </c>
      <c r="F178" s="4">
        <v>0</v>
      </c>
      <c r="G178" s="4">
        <f>SUM(B178:F178)</f>
        <v>39231442</v>
      </c>
      <c r="H178" s="4">
        <v>29651997</v>
      </c>
      <c r="I178" s="4">
        <v>76974115</v>
      </c>
      <c r="J178" s="27">
        <f>G178/I178</f>
        <v>0.50967058211711824</v>
      </c>
      <c r="K178" s="29">
        <f>H178/I178</f>
        <v>0.38522036921113029</v>
      </c>
      <c r="L178" s="6">
        <v>682</v>
      </c>
      <c r="M178" s="7">
        <v>0.73399999999999999</v>
      </c>
      <c r="N178" s="10">
        <v>31.4</v>
      </c>
      <c r="O178" s="6">
        <v>88</v>
      </c>
      <c r="P178" s="10">
        <v>3.49</v>
      </c>
      <c r="Q178" s="6">
        <v>99</v>
      </c>
      <c r="R178" s="10">
        <v>3.8</v>
      </c>
      <c r="S178" s="6">
        <v>106</v>
      </c>
      <c r="T178" s="5">
        <f t="shared" si="2"/>
        <v>0.54320987654320985</v>
      </c>
    </row>
    <row r="179" spans="1:20" x14ac:dyDescent="0.2">
      <c r="A179" s="26">
        <v>2013</v>
      </c>
      <c r="B179" s="3" t="s">
        <v>23</v>
      </c>
      <c r="C179" s="4">
        <v>9310753</v>
      </c>
      <c r="D179" s="4">
        <v>14311971</v>
      </c>
      <c r="E179" s="4">
        <v>12310899</v>
      </c>
      <c r="F179" s="4">
        <v>0</v>
      </c>
      <c r="G179" s="4">
        <f>SUM(B179:F179)</f>
        <v>35933623</v>
      </c>
      <c r="H179" s="4">
        <v>29329282</v>
      </c>
      <c r="I179" s="4">
        <v>71480984</v>
      </c>
      <c r="J179" s="27">
        <f>G179/I179</f>
        <v>0.50270185144625312</v>
      </c>
      <c r="K179" s="29">
        <f>H179/I179</f>
        <v>0.41030887319626153</v>
      </c>
      <c r="L179" s="6">
        <v>634</v>
      </c>
      <c r="M179" s="7">
        <v>0.70899999999999996</v>
      </c>
      <c r="N179" s="10">
        <v>22.8</v>
      </c>
      <c r="O179" s="6">
        <v>94</v>
      </c>
      <c r="P179" s="10">
        <v>3.27</v>
      </c>
      <c r="Q179" s="6">
        <v>91</v>
      </c>
      <c r="R179" s="10">
        <v>3.42</v>
      </c>
      <c r="S179" s="6">
        <v>93</v>
      </c>
      <c r="T179" s="5">
        <f t="shared" si="2"/>
        <v>0.58024691358024694</v>
      </c>
    </row>
    <row r="180" spans="1:20" x14ac:dyDescent="0.2">
      <c r="A180" s="26">
        <v>2012</v>
      </c>
      <c r="B180" s="3" t="s">
        <v>23</v>
      </c>
      <c r="C180" s="4">
        <v>4485000</v>
      </c>
      <c r="D180" s="4">
        <v>11325114</v>
      </c>
      <c r="E180" s="4">
        <v>7169000</v>
      </c>
      <c r="F180" s="4">
        <v>0</v>
      </c>
      <c r="G180" s="4">
        <f>SUM(B180:F180)</f>
        <v>22979114</v>
      </c>
      <c r="H180" s="4">
        <v>35637952</v>
      </c>
      <c r="I180" s="4">
        <v>61803269</v>
      </c>
      <c r="J180" s="27">
        <f>G180/I180</f>
        <v>0.37181065616448217</v>
      </c>
      <c r="K180" s="29">
        <f>H180/I180</f>
        <v>0.57663538800835923</v>
      </c>
      <c r="L180" s="6">
        <v>651</v>
      </c>
      <c r="M180" s="7">
        <v>0.69899999999999995</v>
      </c>
      <c r="N180" s="10">
        <v>10.199999999999999</v>
      </c>
      <c r="O180" s="6">
        <v>79</v>
      </c>
      <c r="P180" s="10">
        <v>3.91</v>
      </c>
      <c r="Q180" s="6">
        <v>102</v>
      </c>
      <c r="R180" s="10">
        <v>3.94</v>
      </c>
      <c r="S180" s="6">
        <v>104</v>
      </c>
      <c r="T180" s="5">
        <f t="shared" si="2"/>
        <v>0.48765432098765432</v>
      </c>
    </row>
    <row r="181" spans="1:20" x14ac:dyDescent="0.2">
      <c r="A181" s="26">
        <v>2011</v>
      </c>
      <c r="B181" s="3" t="s">
        <v>23</v>
      </c>
      <c r="C181" s="4">
        <v>7536500</v>
      </c>
      <c r="D181" s="4">
        <v>11407000</v>
      </c>
      <c r="E181" s="4">
        <v>3271667</v>
      </c>
      <c r="F181" s="4">
        <v>0</v>
      </c>
      <c r="G181" s="4">
        <f>SUM(B181:F181)</f>
        <v>22215167</v>
      </c>
      <c r="H181" s="4">
        <v>24569500</v>
      </c>
      <c r="I181" s="4">
        <v>48592727</v>
      </c>
      <c r="J181" s="27">
        <f>G181/I181</f>
        <v>0.45717061732304093</v>
      </c>
      <c r="K181" s="29">
        <f>H181/I181</f>
        <v>0.50562093376648731</v>
      </c>
      <c r="L181" s="6">
        <v>610</v>
      </c>
      <c r="M181" s="7">
        <v>0.67600000000000005</v>
      </c>
      <c r="N181" s="10">
        <v>6.7</v>
      </c>
      <c r="O181" s="6">
        <v>72</v>
      </c>
      <c r="P181" s="10">
        <v>4.05</v>
      </c>
      <c r="Q181" s="6">
        <v>109</v>
      </c>
      <c r="R181" s="10">
        <v>4.2</v>
      </c>
      <c r="S181" s="6">
        <v>112</v>
      </c>
      <c r="T181" s="5">
        <f t="shared" si="2"/>
        <v>0.44444444444444442</v>
      </c>
    </row>
    <row r="182" spans="1:20" x14ac:dyDescent="0.2">
      <c r="A182" s="26">
        <v>2019</v>
      </c>
      <c r="B182" s="3" t="s">
        <v>10</v>
      </c>
      <c r="C182" s="4">
        <v>4152726</v>
      </c>
      <c r="D182" s="4">
        <v>26160009</v>
      </c>
      <c r="E182" s="4">
        <v>5084936</v>
      </c>
      <c r="F182" s="4">
        <v>21000000</v>
      </c>
      <c r="G182" s="4">
        <f>SUM(B182:F182)</f>
        <v>56397671</v>
      </c>
      <c r="H182" s="4">
        <v>29506668</v>
      </c>
      <c r="I182" s="4">
        <v>148538766</v>
      </c>
      <c r="J182" s="27">
        <f>G182/I182</f>
        <v>0.37968317981044758</v>
      </c>
      <c r="K182" s="28">
        <f>H182/I182</f>
        <v>0.19864624430769809</v>
      </c>
      <c r="L182" s="8">
        <v>810</v>
      </c>
      <c r="M182" s="9">
        <v>0.75</v>
      </c>
      <c r="N182" s="14">
        <v>9.1999999999999993</v>
      </c>
      <c r="O182" s="8">
        <v>78</v>
      </c>
      <c r="P182" s="14">
        <v>5.09</v>
      </c>
      <c r="Q182" s="8">
        <v>101</v>
      </c>
      <c r="R182" s="14">
        <v>4.84</v>
      </c>
      <c r="S182" s="8">
        <v>101</v>
      </c>
      <c r="T182" s="5">
        <f t="shared" si="2"/>
        <v>0.48148148148148145</v>
      </c>
    </row>
    <row r="183" spans="1:20" x14ac:dyDescent="0.2">
      <c r="A183" s="26">
        <v>2018</v>
      </c>
      <c r="B183" s="3" t="s">
        <v>10</v>
      </c>
      <c r="C183" s="4">
        <v>2578160</v>
      </c>
      <c r="D183" s="4">
        <v>38819983</v>
      </c>
      <c r="E183" s="4">
        <v>3561460</v>
      </c>
      <c r="F183" s="4">
        <v>20100000</v>
      </c>
      <c r="G183" s="4">
        <f>SUM(B183:F183)</f>
        <v>65059603</v>
      </c>
      <c r="H183" s="4">
        <v>31179413</v>
      </c>
      <c r="I183" s="4">
        <v>140625018</v>
      </c>
      <c r="J183" s="27">
        <f>G183/I183</f>
        <v>0.46264600655908894</v>
      </c>
      <c r="K183" s="28">
        <f>H183/I183</f>
        <v>0.22172024184203126</v>
      </c>
      <c r="L183" s="8">
        <v>737</v>
      </c>
      <c r="M183" s="9">
        <v>0.72199999999999998</v>
      </c>
      <c r="N183" s="14">
        <v>11.4</v>
      </c>
      <c r="O183" s="8">
        <v>67</v>
      </c>
      <c r="P183" s="14">
        <v>4.92</v>
      </c>
      <c r="Q183" s="8">
        <v>106</v>
      </c>
      <c r="R183" s="14">
        <v>4.79</v>
      </c>
      <c r="S183" s="8">
        <v>109</v>
      </c>
      <c r="T183" s="5">
        <f t="shared" si="2"/>
        <v>0.41358024691358025</v>
      </c>
    </row>
    <row r="184" spans="1:20" x14ac:dyDescent="0.2">
      <c r="A184" s="26">
        <v>2017</v>
      </c>
      <c r="B184" s="3" t="s">
        <v>10</v>
      </c>
      <c r="C184" s="4">
        <v>2272277</v>
      </c>
      <c r="D184" s="4">
        <v>41311947</v>
      </c>
      <c r="E184" s="4">
        <v>33470022</v>
      </c>
      <c r="F184" s="4">
        <v>0</v>
      </c>
      <c r="G184" s="4">
        <f>SUM(B184:F184)</f>
        <v>77054246</v>
      </c>
      <c r="H184" s="4">
        <v>49310939</v>
      </c>
      <c r="I184" s="4">
        <v>163350840</v>
      </c>
      <c r="J184" s="27">
        <f>G184/I184</f>
        <v>0.47171013017135388</v>
      </c>
      <c r="K184" s="28">
        <f>H184/I184</f>
        <v>0.30187135248279101</v>
      </c>
      <c r="L184" s="8">
        <v>799</v>
      </c>
      <c r="M184" s="9">
        <v>0.75</v>
      </c>
      <c r="N184" s="14">
        <v>10.1</v>
      </c>
      <c r="O184" s="8">
        <v>78</v>
      </c>
      <c r="P184" s="14">
        <v>4.7</v>
      </c>
      <c r="Q184" s="8">
        <v>98</v>
      </c>
      <c r="R184" s="14">
        <v>4.88</v>
      </c>
      <c r="S184" s="8">
        <v>107</v>
      </c>
      <c r="T184" s="5">
        <f t="shared" si="2"/>
        <v>0.48148148148148145</v>
      </c>
    </row>
    <row r="185" spans="1:20" x14ac:dyDescent="0.2">
      <c r="A185" s="26">
        <v>2016</v>
      </c>
      <c r="B185" s="3" t="s">
        <v>10</v>
      </c>
      <c r="C185" s="4">
        <v>3165629</v>
      </c>
      <c r="D185" s="4">
        <v>40194471</v>
      </c>
      <c r="E185" s="4">
        <v>29603211</v>
      </c>
      <c r="F185" s="4">
        <v>2500000</v>
      </c>
      <c r="G185" s="4">
        <f>SUM(B185:F185)</f>
        <v>75463311</v>
      </c>
      <c r="H185" s="4">
        <v>59261315</v>
      </c>
      <c r="I185" s="4">
        <v>163021690</v>
      </c>
      <c r="J185" s="27">
        <f>G185/I185</f>
        <v>0.46290350075502223</v>
      </c>
      <c r="K185" s="29">
        <f>H185/I185</f>
        <v>0.36351797727038654</v>
      </c>
      <c r="L185" s="6">
        <v>765</v>
      </c>
      <c r="M185" s="7">
        <v>0.755</v>
      </c>
      <c r="N185" s="10">
        <v>16.2</v>
      </c>
      <c r="O185" s="6">
        <v>95</v>
      </c>
      <c r="P185" s="10">
        <v>4.38</v>
      </c>
      <c r="Q185" s="6">
        <v>97</v>
      </c>
      <c r="R185" s="10">
        <v>4.58</v>
      </c>
      <c r="S185" s="6">
        <v>104</v>
      </c>
      <c r="T185" s="5">
        <f t="shared" si="2"/>
        <v>0.5864197530864198</v>
      </c>
    </row>
    <row r="186" spans="1:20" x14ac:dyDescent="0.2">
      <c r="A186" s="26">
        <v>2015</v>
      </c>
      <c r="B186" s="3" t="s">
        <v>10</v>
      </c>
      <c r="C186" s="4">
        <v>1922182</v>
      </c>
      <c r="D186" s="4">
        <v>36520461</v>
      </c>
      <c r="E186" s="4">
        <v>23020957</v>
      </c>
      <c r="F186" s="4">
        <v>24050000</v>
      </c>
      <c r="G186" s="4">
        <f>SUM(B186:F186)</f>
        <v>85513600</v>
      </c>
      <c r="H186" s="4">
        <v>39012276</v>
      </c>
      <c r="I186" s="4">
        <v>156445607</v>
      </c>
      <c r="J186" s="27">
        <f>G186/I186</f>
        <v>0.5466027563177277</v>
      </c>
      <c r="K186" s="29">
        <f>H186/I186</f>
        <v>0.24936638840872022</v>
      </c>
      <c r="L186" s="6">
        <v>751</v>
      </c>
      <c r="M186" s="7">
        <v>0.73899999999999999</v>
      </c>
      <c r="N186" s="10">
        <v>21.6</v>
      </c>
      <c r="O186" s="6">
        <v>88</v>
      </c>
      <c r="P186" s="10">
        <v>4.25</v>
      </c>
      <c r="Q186" s="6">
        <v>101</v>
      </c>
      <c r="R186" s="10">
        <v>4.34</v>
      </c>
      <c r="S186" s="6">
        <v>106</v>
      </c>
      <c r="T186" s="5">
        <f t="shared" si="2"/>
        <v>0.54320987654320985</v>
      </c>
    </row>
    <row r="187" spans="1:20" x14ac:dyDescent="0.2">
      <c r="A187" s="26">
        <v>2014</v>
      </c>
      <c r="B187" s="3" t="s">
        <v>10</v>
      </c>
      <c r="C187" s="4">
        <v>502232</v>
      </c>
      <c r="D187" s="4">
        <v>30518452</v>
      </c>
      <c r="E187" s="4">
        <v>34063217</v>
      </c>
      <c r="F187" s="4">
        <v>24000000</v>
      </c>
      <c r="G187" s="4">
        <f>SUM(B187:F187)</f>
        <v>89083901</v>
      </c>
      <c r="H187" s="4">
        <v>40725339</v>
      </c>
      <c r="I187" s="4">
        <v>139630583</v>
      </c>
      <c r="J187" s="27">
        <f>G187/I187</f>
        <v>0.63799705684821206</v>
      </c>
      <c r="K187" s="29">
        <f>H187/I187</f>
        <v>0.29166489264031792</v>
      </c>
      <c r="L187" s="6">
        <v>637</v>
      </c>
      <c r="M187" s="7">
        <v>0.68899999999999995</v>
      </c>
      <c r="N187" s="10">
        <v>11.6</v>
      </c>
      <c r="O187" s="6">
        <v>67</v>
      </c>
      <c r="P187" s="10">
        <v>4.49</v>
      </c>
      <c r="Q187" s="6">
        <v>113</v>
      </c>
      <c r="R187" s="10">
        <v>4.22</v>
      </c>
      <c r="S187" s="6">
        <v>110</v>
      </c>
      <c r="T187" s="5">
        <f t="shared" si="2"/>
        <v>0.41358024691358025</v>
      </c>
    </row>
    <row r="188" spans="1:20" x14ac:dyDescent="0.2">
      <c r="A188" s="26">
        <v>2013</v>
      </c>
      <c r="B188" s="3" t="s">
        <v>10</v>
      </c>
      <c r="C188" s="4">
        <v>10440109</v>
      </c>
      <c r="D188" s="4">
        <v>37056983</v>
      </c>
      <c r="E188" s="4">
        <v>6592090</v>
      </c>
      <c r="F188" s="4">
        <v>16575000</v>
      </c>
      <c r="G188" s="4">
        <f>SUM(B188:F188)</f>
        <v>70664182</v>
      </c>
      <c r="H188" s="4">
        <v>43498315</v>
      </c>
      <c r="I188" s="4">
        <v>137937146</v>
      </c>
      <c r="J188" s="27">
        <f>G188/I188</f>
        <v>0.51229262058242098</v>
      </c>
      <c r="K188" s="29">
        <f>H188/I188</f>
        <v>0.31534881111720259</v>
      </c>
      <c r="L188" s="6">
        <v>730</v>
      </c>
      <c r="M188" s="7">
        <v>0.73499999999999999</v>
      </c>
      <c r="N188" s="10">
        <v>19.7</v>
      </c>
      <c r="O188" s="6">
        <v>91</v>
      </c>
      <c r="P188" s="10">
        <v>3.63</v>
      </c>
      <c r="Q188" s="6">
        <v>86</v>
      </c>
      <c r="R188" s="10">
        <v>3.77</v>
      </c>
      <c r="S188" s="6">
        <v>93</v>
      </c>
      <c r="T188" s="5">
        <f t="shared" si="2"/>
        <v>0.56172839506172845</v>
      </c>
    </row>
    <row r="189" spans="1:20" x14ac:dyDescent="0.2">
      <c r="A189" s="26">
        <v>2012</v>
      </c>
      <c r="B189" s="3" t="s">
        <v>10</v>
      </c>
      <c r="C189" s="4">
        <v>0</v>
      </c>
      <c r="D189" s="4">
        <v>52362345</v>
      </c>
      <c r="E189" s="4">
        <v>18954300</v>
      </c>
      <c r="F189" s="4">
        <v>8875000</v>
      </c>
      <c r="G189" s="4">
        <f>SUM(B189:F189)</f>
        <v>80191645</v>
      </c>
      <c r="H189" s="4">
        <v>54784701</v>
      </c>
      <c r="I189" s="4">
        <v>138226346</v>
      </c>
      <c r="J189" s="27">
        <f>G189/I189</f>
        <v>0.58014732589400864</v>
      </c>
      <c r="K189" s="29">
        <f>H189/I189</f>
        <v>0.39634051384097213</v>
      </c>
      <c r="L189" s="6">
        <v>808</v>
      </c>
      <c r="M189" s="7">
        <v>0.78</v>
      </c>
      <c r="N189" s="10">
        <v>23.3</v>
      </c>
      <c r="O189" s="6">
        <v>93</v>
      </c>
      <c r="P189" s="10">
        <v>4.0199999999999996</v>
      </c>
      <c r="Q189" s="6">
        <v>93</v>
      </c>
      <c r="R189" s="10">
        <v>3.9</v>
      </c>
      <c r="S189" s="6">
        <v>92</v>
      </c>
      <c r="T189" s="5">
        <f t="shared" si="2"/>
        <v>0.57407407407407407</v>
      </c>
    </row>
    <row r="190" spans="1:20" x14ac:dyDescent="0.2">
      <c r="A190" s="26">
        <v>2011</v>
      </c>
      <c r="B190" s="3" t="s">
        <v>10</v>
      </c>
      <c r="C190" s="4">
        <v>3416790</v>
      </c>
      <c r="D190" s="4">
        <v>43598180</v>
      </c>
      <c r="E190" s="4">
        <v>12820000</v>
      </c>
      <c r="F190" s="4">
        <v>6050000</v>
      </c>
      <c r="G190" s="4">
        <f>SUM(B190:F190)</f>
        <v>65884970</v>
      </c>
      <c r="H190" s="4">
        <v>33387950</v>
      </c>
      <c r="I190" s="4">
        <v>103741721</v>
      </c>
      <c r="J190" s="27">
        <f>G190/I190</f>
        <v>0.63508653379675473</v>
      </c>
      <c r="K190" s="29">
        <f>H190/I190</f>
        <v>0.32183724810194736</v>
      </c>
      <c r="L190" s="6">
        <v>855</v>
      </c>
      <c r="M190" s="7">
        <v>0.8</v>
      </c>
      <c r="N190" s="10">
        <v>33.9</v>
      </c>
      <c r="O190" s="6">
        <v>96</v>
      </c>
      <c r="P190" s="10">
        <v>3.79</v>
      </c>
      <c r="Q190" s="6">
        <v>88</v>
      </c>
      <c r="R190" s="10">
        <v>3.98</v>
      </c>
      <c r="S190" s="6">
        <v>95</v>
      </c>
      <c r="T190" s="5">
        <f t="shared" si="2"/>
        <v>0.59259259259259256</v>
      </c>
    </row>
    <row r="191" spans="1:20" x14ac:dyDescent="0.2">
      <c r="A191" s="26">
        <v>2019</v>
      </c>
      <c r="B191" s="3" t="s">
        <v>27</v>
      </c>
      <c r="C191" s="4">
        <v>5200413</v>
      </c>
      <c r="D191" s="4">
        <v>7440252</v>
      </c>
      <c r="E191" s="4">
        <v>18103850</v>
      </c>
      <c r="F191" s="4">
        <v>0</v>
      </c>
      <c r="G191" s="4">
        <f>SUM(B191:F191)</f>
        <v>30744515</v>
      </c>
      <c r="H191" s="4">
        <v>23600859</v>
      </c>
      <c r="I191" s="4">
        <v>64178722</v>
      </c>
      <c r="J191" s="27">
        <f>G191/I191</f>
        <v>0.47904529791041961</v>
      </c>
      <c r="K191" s="28">
        <f>H191/I191</f>
        <v>0.36773650618969944</v>
      </c>
      <c r="L191" s="8">
        <v>769</v>
      </c>
      <c r="M191" s="9">
        <v>0.75700000000000001</v>
      </c>
      <c r="N191" s="14">
        <v>23</v>
      </c>
      <c r="O191" s="8">
        <v>96</v>
      </c>
      <c r="P191" s="14">
        <v>3.67</v>
      </c>
      <c r="Q191" s="8">
        <v>83</v>
      </c>
      <c r="R191" s="14">
        <v>3.65</v>
      </c>
      <c r="S191" s="8">
        <v>83</v>
      </c>
      <c r="T191" s="5">
        <f t="shared" si="2"/>
        <v>0.59259259259259256</v>
      </c>
    </row>
    <row r="192" spans="1:20" x14ac:dyDescent="0.2">
      <c r="A192" s="26">
        <v>2018</v>
      </c>
      <c r="B192" s="3" t="s">
        <v>27</v>
      </c>
      <c r="C192" s="4">
        <v>1115450</v>
      </c>
      <c r="D192" s="4">
        <v>2721590</v>
      </c>
      <c r="E192" s="4">
        <v>10841926</v>
      </c>
      <c r="F192" s="4">
        <v>2300000</v>
      </c>
      <c r="G192" s="4">
        <f>SUM(B192:F192)</f>
        <v>16978966</v>
      </c>
      <c r="H192" s="4">
        <v>8690022</v>
      </c>
      <c r="I192" s="4">
        <v>68810167</v>
      </c>
      <c r="J192" s="27">
        <f>G192/I192</f>
        <v>0.24675083262041786</v>
      </c>
      <c r="K192" s="28">
        <f>H192/I192</f>
        <v>0.12628979668077248</v>
      </c>
      <c r="L192" s="8">
        <v>716</v>
      </c>
      <c r="M192" s="9">
        <v>0.74</v>
      </c>
      <c r="N192" s="14">
        <v>23.4</v>
      </c>
      <c r="O192" s="8">
        <v>90</v>
      </c>
      <c r="P192" s="14">
        <v>3.75</v>
      </c>
      <c r="Q192" s="8">
        <v>91</v>
      </c>
      <c r="R192" s="14">
        <v>3.82</v>
      </c>
      <c r="S192" s="8">
        <v>93</v>
      </c>
      <c r="T192" s="5">
        <f t="shared" si="2"/>
        <v>0.55555555555555558</v>
      </c>
    </row>
    <row r="193" spans="1:20" x14ac:dyDescent="0.2">
      <c r="A193" s="26">
        <v>2017</v>
      </c>
      <c r="B193" s="3" t="s">
        <v>27</v>
      </c>
      <c r="C193" s="4">
        <v>4720613</v>
      </c>
      <c r="D193" s="4">
        <v>21601130</v>
      </c>
      <c r="E193" s="4">
        <v>8576878</v>
      </c>
      <c r="F193" s="4">
        <v>2750000</v>
      </c>
      <c r="G193" s="4">
        <f>SUM(B193:F193)</f>
        <v>37648621</v>
      </c>
      <c r="H193" s="4">
        <v>25370073</v>
      </c>
      <c r="I193" s="4">
        <v>77811205</v>
      </c>
      <c r="J193" s="27">
        <f>G193/I193</f>
        <v>0.48384575203532704</v>
      </c>
      <c r="K193" s="28">
        <f>H193/I193</f>
        <v>0.32604652504738874</v>
      </c>
      <c r="L193" s="8">
        <v>694</v>
      </c>
      <c r="M193" s="9">
        <v>0.73899999999999999</v>
      </c>
      <c r="N193" s="14">
        <v>21.7</v>
      </c>
      <c r="O193" s="8">
        <v>80</v>
      </c>
      <c r="P193" s="14">
        <v>3.99</v>
      </c>
      <c r="Q193" s="8">
        <v>94</v>
      </c>
      <c r="R193" s="14">
        <v>4.17</v>
      </c>
      <c r="S193" s="8">
        <v>98</v>
      </c>
      <c r="T193" s="5">
        <f t="shared" si="2"/>
        <v>0.49382716049382713</v>
      </c>
    </row>
    <row r="194" spans="1:20" x14ac:dyDescent="0.2">
      <c r="A194" s="26">
        <v>2016</v>
      </c>
      <c r="B194" s="3" t="s">
        <v>27</v>
      </c>
      <c r="C194" s="4">
        <v>823339</v>
      </c>
      <c r="D194" s="4">
        <v>15773388</v>
      </c>
      <c r="E194" s="4">
        <v>1664475</v>
      </c>
      <c r="F194" s="4">
        <v>0</v>
      </c>
      <c r="G194" s="4">
        <f>SUM(B194:F194)</f>
        <v>18261202</v>
      </c>
      <c r="H194" s="4">
        <v>17964798</v>
      </c>
      <c r="I194" s="4">
        <v>63908549</v>
      </c>
      <c r="J194" s="27">
        <f>G194/I194</f>
        <v>0.28573958078754064</v>
      </c>
      <c r="K194" s="29">
        <f>H194/I194</f>
        <v>0.28110164103397184</v>
      </c>
      <c r="L194" s="6">
        <v>672</v>
      </c>
      <c r="M194" s="7">
        <v>0.73299999999999998</v>
      </c>
      <c r="N194" s="10">
        <v>19.100000000000001</v>
      </c>
      <c r="O194" s="6">
        <v>68</v>
      </c>
      <c r="P194" s="10">
        <v>4.2</v>
      </c>
      <c r="Q194" s="6">
        <v>102</v>
      </c>
      <c r="R194" s="10">
        <v>4.26</v>
      </c>
      <c r="S194" s="6">
        <v>103</v>
      </c>
      <c r="T194" s="5">
        <f t="shared" si="2"/>
        <v>0.41975308641975306</v>
      </c>
    </row>
    <row r="195" spans="1:20" x14ac:dyDescent="0.2">
      <c r="A195" s="26">
        <v>2015</v>
      </c>
      <c r="B195" s="3" t="s">
        <v>27</v>
      </c>
      <c r="C195" s="4">
        <v>1291516</v>
      </c>
      <c r="D195" s="4">
        <v>28916084</v>
      </c>
      <c r="E195" s="4">
        <v>6431133</v>
      </c>
      <c r="F195" s="4">
        <v>0</v>
      </c>
      <c r="G195" s="4">
        <f>SUM(B195:F195)</f>
        <v>36638733</v>
      </c>
      <c r="H195" s="4">
        <v>15454215</v>
      </c>
      <c r="I195" s="4">
        <v>76582652</v>
      </c>
      <c r="J195" s="27">
        <f>G195/I195</f>
        <v>0.47842079169574853</v>
      </c>
      <c r="K195" s="29">
        <f>H195/I195</f>
        <v>0.20179785625600952</v>
      </c>
      <c r="L195" s="6">
        <v>644</v>
      </c>
      <c r="M195" s="7">
        <v>0.72</v>
      </c>
      <c r="N195" s="10">
        <v>19.600000000000001</v>
      </c>
      <c r="O195" s="6">
        <v>80</v>
      </c>
      <c r="P195" s="10">
        <v>3.74</v>
      </c>
      <c r="Q195" s="6">
        <v>96</v>
      </c>
      <c r="R195" s="10">
        <v>3.91</v>
      </c>
      <c r="S195" s="6">
        <v>99</v>
      </c>
      <c r="T195" s="5">
        <f t="shared" ref="T195:T258" si="3">O195/162</f>
        <v>0.49382716049382713</v>
      </c>
    </row>
    <row r="196" spans="1:20" x14ac:dyDescent="0.2">
      <c r="A196" s="26">
        <v>2014</v>
      </c>
      <c r="B196" s="3" t="s">
        <v>27</v>
      </c>
      <c r="C196" s="4">
        <v>4683060</v>
      </c>
      <c r="D196" s="4">
        <v>25437062</v>
      </c>
      <c r="E196" s="4">
        <v>9940749</v>
      </c>
      <c r="F196" s="4">
        <v>0</v>
      </c>
      <c r="G196" s="4">
        <f>SUM(B196:F196)</f>
        <v>40060871</v>
      </c>
      <c r="H196" s="4">
        <v>23643836</v>
      </c>
      <c r="I196" s="4">
        <v>76821046</v>
      </c>
      <c r="J196" s="27">
        <f>G196/I196</f>
        <v>0.52148301911952621</v>
      </c>
      <c r="K196" s="29">
        <f>H196/I196</f>
        <v>0.30777810549468437</v>
      </c>
      <c r="L196" s="6">
        <v>612</v>
      </c>
      <c r="M196" s="7">
        <v>0.68400000000000005</v>
      </c>
      <c r="N196" s="10">
        <v>20.3</v>
      </c>
      <c r="O196" s="6">
        <v>77</v>
      </c>
      <c r="P196" s="10">
        <v>3.56</v>
      </c>
      <c r="Q196" s="6">
        <v>96</v>
      </c>
      <c r="R196" s="10">
        <v>3.56</v>
      </c>
      <c r="S196" s="6">
        <v>97</v>
      </c>
      <c r="T196" s="5">
        <f t="shared" si="3"/>
        <v>0.47530864197530864</v>
      </c>
    </row>
    <row r="197" spans="1:20" x14ac:dyDescent="0.2">
      <c r="A197" s="26">
        <v>2013</v>
      </c>
      <c r="B197" s="3" t="s">
        <v>27</v>
      </c>
      <c r="C197" s="4">
        <v>2376827</v>
      </c>
      <c r="D197" s="4">
        <v>25353752</v>
      </c>
      <c r="E197" s="4">
        <v>4886416</v>
      </c>
      <c r="F197" s="4">
        <v>2750000</v>
      </c>
      <c r="G197" s="4">
        <f>SUM(B197:F197)</f>
        <v>35366995</v>
      </c>
      <c r="H197" s="4">
        <v>31662398</v>
      </c>
      <c r="I197" s="4">
        <v>72600703</v>
      </c>
      <c r="J197" s="27">
        <f>G197/I197</f>
        <v>0.48714397434966988</v>
      </c>
      <c r="K197" s="29">
        <f>H197/I197</f>
        <v>0.43611696156716279</v>
      </c>
      <c r="L197" s="6">
        <v>700</v>
      </c>
      <c r="M197" s="7">
        <v>0.73699999999999999</v>
      </c>
      <c r="N197" s="10">
        <v>28.2</v>
      </c>
      <c r="O197" s="6">
        <v>92</v>
      </c>
      <c r="P197" s="10">
        <v>3.74</v>
      </c>
      <c r="Q197" s="6">
        <v>97</v>
      </c>
      <c r="R197" s="10">
        <v>3.71</v>
      </c>
      <c r="S197" s="6">
        <v>96</v>
      </c>
      <c r="T197" s="5">
        <f t="shared" si="3"/>
        <v>0.5679012345679012</v>
      </c>
    </row>
    <row r="198" spans="1:20" x14ac:dyDescent="0.2">
      <c r="A198" s="26">
        <v>2012</v>
      </c>
      <c r="B198" s="3" t="s">
        <v>27</v>
      </c>
      <c r="C198" s="4">
        <v>3422200</v>
      </c>
      <c r="D198" s="4">
        <v>19864975</v>
      </c>
      <c r="E198" s="4">
        <v>9241455</v>
      </c>
      <c r="F198" s="4">
        <v>5000000</v>
      </c>
      <c r="G198" s="4">
        <f>SUM(B198:F198)</f>
        <v>37528630</v>
      </c>
      <c r="H198" s="4">
        <v>30703700</v>
      </c>
      <c r="I198" s="4">
        <v>70242330</v>
      </c>
      <c r="J198" s="27">
        <f>G198/I198</f>
        <v>0.53427370646731109</v>
      </c>
      <c r="K198" s="29">
        <f>H198/I198</f>
        <v>0.43711106963564561</v>
      </c>
      <c r="L198" s="6">
        <v>697</v>
      </c>
      <c r="M198" s="7">
        <v>0.71099999999999997</v>
      </c>
      <c r="N198" s="10">
        <v>23.7</v>
      </c>
      <c r="O198" s="6">
        <v>90</v>
      </c>
      <c r="P198" s="10">
        <v>3.19</v>
      </c>
      <c r="Q198" s="6">
        <v>82</v>
      </c>
      <c r="R198" s="10">
        <v>3.51</v>
      </c>
      <c r="S198" s="6">
        <v>86</v>
      </c>
      <c r="T198" s="5">
        <f t="shared" si="3"/>
        <v>0.55555555555555558</v>
      </c>
    </row>
    <row r="199" spans="1:20" x14ac:dyDescent="0.2">
      <c r="A199" s="26">
        <v>2011</v>
      </c>
      <c r="B199" s="3" t="s">
        <v>27</v>
      </c>
      <c r="C199" s="4">
        <v>3828000</v>
      </c>
      <c r="D199" s="4">
        <v>10846599</v>
      </c>
      <c r="E199" s="4">
        <v>12589000</v>
      </c>
      <c r="F199" s="4">
        <v>0</v>
      </c>
      <c r="G199" s="4">
        <f>SUM(B199:F199)</f>
        <v>27263599</v>
      </c>
      <c r="H199" s="4">
        <v>18464933</v>
      </c>
      <c r="I199" s="4">
        <v>46098532</v>
      </c>
      <c r="J199" s="27">
        <f>G199/I199</f>
        <v>0.59142011290077523</v>
      </c>
      <c r="K199" s="29">
        <f>H199/I199</f>
        <v>0.40055360114287369</v>
      </c>
      <c r="L199" s="6">
        <v>707</v>
      </c>
      <c r="M199" s="7">
        <v>0.72399999999999998</v>
      </c>
      <c r="N199" s="10">
        <v>27.7</v>
      </c>
      <c r="O199" s="6">
        <v>91</v>
      </c>
      <c r="P199" s="10">
        <v>3.58</v>
      </c>
      <c r="Q199" s="6">
        <v>92</v>
      </c>
      <c r="R199" s="10">
        <v>4.03</v>
      </c>
      <c r="S199" s="6">
        <v>102</v>
      </c>
      <c r="T199" s="5">
        <f t="shared" si="3"/>
        <v>0.56172839506172845</v>
      </c>
    </row>
    <row r="200" spans="1:20" x14ac:dyDescent="0.2">
      <c r="A200" s="26">
        <v>2019</v>
      </c>
      <c r="B200" s="3" t="s">
        <v>1</v>
      </c>
      <c r="C200" s="4">
        <v>5160193</v>
      </c>
      <c r="D200" s="4">
        <v>23685554</v>
      </c>
      <c r="E200" s="4">
        <v>29523414</v>
      </c>
      <c r="F200" s="4">
        <v>23750000</v>
      </c>
      <c r="G200" s="4">
        <f>SUM(B200:F200)</f>
        <v>82119161</v>
      </c>
      <c r="H200" s="4">
        <v>83737060</v>
      </c>
      <c r="I200" s="4">
        <v>229196106</v>
      </c>
      <c r="J200" s="27">
        <f>G200/I200</f>
        <v>0.35829212997187659</v>
      </c>
      <c r="K200" s="28">
        <f>H200/I200</f>
        <v>0.36535114606179214</v>
      </c>
      <c r="L200" s="8">
        <v>901</v>
      </c>
      <c r="M200" s="9">
        <v>0.80600000000000005</v>
      </c>
      <c r="N200" s="14">
        <v>27.5</v>
      </c>
      <c r="O200" s="8">
        <v>84</v>
      </c>
      <c r="P200" s="14">
        <v>4.7</v>
      </c>
      <c r="Q200" s="8">
        <v>97</v>
      </c>
      <c r="R200" s="14">
        <v>4.28</v>
      </c>
      <c r="S200" s="8">
        <v>95</v>
      </c>
      <c r="T200" s="5">
        <f t="shared" si="3"/>
        <v>0.51851851851851849</v>
      </c>
    </row>
    <row r="201" spans="1:20" x14ac:dyDescent="0.2">
      <c r="A201" s="26">
        <v>2018</v>
      </c>
      <c r="B201" s="3" t="s">
        <v>1</v>
      </c>
      <c r="C201" s="4">
        <v>3375000</v>
      </c>
      <c r="D201" s="4">
        <v>22615270</v>
      </c>
      <c r="E201" s="4">
        <v>19284000</v>
      </c>
      <c r="F201" s="4">
        <v>23750000</v>
      </c>
      <c r="G201" s="4">
        <f>SUM(B201:F201)</f>
        <v>69024270</v>
      </c>
      <c r="H201" s="4">
        <v>98931510</v>
      </c>
      <c r="I201" s="4">
        <v>227398860</v>
      </c>
      <c r="J201" s="27">
        <f>G201/I201</f>
        <v>0.30353832908397166</v>
      </c>
      <c r="K201" s="28">
        <f>H201/I201</f>
        <v>0.43505719421812405</v>
      </c>
      <c r="L201" s="8">
        <v>876</v>
      </c>
      <c r="M201" s="9">
        <v>0.79200000000000004</v>
      </c>
      <c r="N201" s="14">
        <v>32.1</v>
      </c>
      <c r="O201" s="8">
        <v>108</v>
      </c>
      <c r="P201" s="14">
        <v>3.75</v>
      </c>
      <c r="Q201" s="8">
        <v>84</v>
      </c>
      <c r="R201" s="14">
        <v>3.82</v>
      </c>
      <c r="S201" s="8">
        <v>91</v>
      </c>
      <c r="T201" s="5">
        <f t="shared" si="3"/>
        <v>0.66666666666666663</v>
      </c>
    </row>
    <row r="202" spans="1:20" x14ac:dyDescent="0.2">
      <c r="A202" s="26">
        <v>2017</v>
      </c>
      <c r="B202" s="3" t="s">
        <v>1</v>
      </c>
      <c r="C202" s="4">
        <v>1951613</v>
      </c>
      <c r="D202" s="4">
        <v>29538875</v>
      </c>
      <c r="E202" s="4">
        <v>24149121</v>
      </c>
      <c r="F202" s="4">
        <v>22750000</v>
      </c>
      <c r="G202" s="4">
        <f>SUM(B202:F202)</f>
        <v>78389609</v>
      </c>
      <c r="H202" s="4">
        <v>93768937</v>
      </c>
      <c r="I202" s="4">
        <v>209872508</v>
      </c>
      <c r="J202" s="27">
        <f>G202/I202</f>
        <v>0.3735106124523942</v>
      </c>
      <c r="K202" s="28">
        <f>H202/I202</f>
        <v>0.44678999595316221</v>
      </c>
      <c r="L202" s="8">
        <v>785</v>
      </c>
      <c r="M202" s="9">
        <v>0.73599999999999999</v>
      </c>
      <c r="N202" s="14">
        <v>18.2</v>
      </c>
      <c r="O202" s="8">
        <v>93</v>
      </c>
      <c r="P202" s="14">
        <v>3.73</v>
      </c>
      <c r="Q202" s="8">
        <v>82</v>
      </c>
      <c r="R202" s="14">
        <v>3.78</v>
      </c>
      <c r="S202" s="8">
        <v>87</v>
      </c>
      <c r="T202" s="5">
        <f t="shared" si="3"/>
        <v>0.57407407407407407</v>
      </c>
    </row>
    <row r="203" spans="1:20" x14ac:dyDescent="0.2">
      <c r="A203" s="26">
        <v>2016</v>
      </c>
      <c r="B203" s="3" t="s">
        <v>1</v>
      </c>
      <c r="C203" s="4">
        <f>3700000+513000</f>
        <v>4213000</v>
      </c>
      <c r="D203" s="4">
        <f>22750000+13125000+17600000+515000+650000</f>
        <v>54640000</v>
      </c>
      <c r="E203" s="4">
        <f>546500+11271429+6500000+606000+518500+518500+566000</f>
        <v>20526929</v>
      </c>
      <c r="F203" s="4">
        <v>16000000</v>
      </c>
      <c r="G203" s="4">
        <f>SUM(B203:F203)</f>
        <v>95379929</v>
      </c>
      <c r="H203" s="4">
        <f>66760500+26738250</f>
        <v>93498750</v>
      </c>
      <c r="I203" s="4">
        <v>197899679</v>
      </c>
      <c r="J203" s="27">
        <f>G203/I203</f>
        <v>0.48196100914342566</v>
      </c>
      <c r="K203" s="29">
        <f>H203/I203</f>
        <v>0.47245528882338411</v>
      </c>
      <c r="L203" s="6">
        <v>878</v>
      </c>
      <c r="M203" s="7">
        <v>0.81</v>
      </c>
      <c r="N203" s="10">
        <v>35.200000000000003</v>
      </c>
      <c r="O203" s="6">
        <v>93</v>
      </c>
      <c r="P203" s="10">
        <v>4</v>
      </c>
      <c r="Q203" s="6">
        <v>91</v>
      </c>
      <c r="R203" s="10">
        <v>4</v>
      </c>
      <c r="S203" s="6">
        <v>95</v>
      </c>
      <c r="T203" s="5">
        <f t="shared" si="3"/>
        <v>0.57407407407407407</v>
      </c>
    </row>
    <row r="204" spans="1:20" x14ac:dyDescent="0.2">
      <c r="A204" s="26">
        <v>2015</v>
      </c>
      <c r="B204" s="3" t="s">
        <v>1</v>
      </c>
      <c r="C204" s="4">
        <v>4325881</v>
      </c>
      <c r="D204" s="4">
        <v>31904957</v>
      </c>
      <c r="E204" s="4">
        <v>17542714</v>
      </c>
      <c r="F204" s="4">
        <v>16000000</v>
      </c>
      <c r="G204" s="4">
        <f>SUM(B204:F204)</f>
        <v>69773552</v>
      </c>
      <c r="H204" s="4">
        <v>25256894</v>
      </c>
      <c r="I204" s="4">
        <v>183481478</v>
      </c>
      <c r="J204" s="27">
        <f>G204/I204</f>
        <v>0.38027572461564757</v>
      </c>
      <c r="K204" s="29">
        <f>H204/I204</f>
        <v>0.1376536437100207</v>
      </c>
      <c r="L204" s="6">
        <v>748</v>
      </c>
      <c r="M204" s="7">
        <v>0.74</v>
      </c>
      <c r="N204" s="10">
        <v>17.899999999999999</v>
      </c>
      <c r="O204" s="6">
        <v>78</v>
      </c>
      <c r="P204" s="10">
        <v>4.34</v>
      </c>
      <c r="Q204" s="6">
        <v>104</v>
      </c>
      <c r="R204" s="10">
        <v>4.17</v>
      </c>
      <c r="S204" s="6">
        <v>105</v>
      </c>
      <c r="T204" s="5">
        <f t="shared" si="3"/>
        <v>0.48148148148148145</v>
      </c>
    </row>
    <row r="205" spans="1:20" x14ac:dyDescent="0.2">
      <c r="A205" s="26">
        <v>2014</v>
      </c>
      <c r="B205" s="3" t="s">
        <v>1</v>
      </c>
      <c r="C205" s="4">
        <v>3700599</v>
      </c>
      <c r="D205" s="4">
        <v>31507089</v>
      </c>
      <c r="E205" s="4">
        <v>18758610</v>
      </c>
      <c r="F205" s="4">
        <v>15500000</v>
      </c>
      <c r="G205" s="4">
        <f>SUM(B205:F205)</f>
        <v>69466298</v>
      </c>
      <c r="H205" s="4">
        <v>25951673</v>
      </c>
      <c r="I205" s="4">
        <v>170095758</v>
      </c>
      <c r="J205" s="27">
        <f>G205/I205</f>
        <v>0.40839524052093057</v>
      </c>
      <c r="K205" s="29">
        <f>H205/I205</f>
        <v>0.15257095947095869</v>
      </c>
      <c r="L205" s="6">
        <v>634</v>
      </c>
      <c r="M205" s="7">
        <v>0.68400000000000005</v>
      </c>
      <c r="N205" s="10">
        <v>17.3</v>
      </c>
      <c r="O205" s="6">
        <v>71</v>
      </c>
      <c r="P205" s="10">
        <v>4.01</v>
      </c>
      <c r="Q205" s="6">
        <v>100</v>
      </c>
      <c r="R205" s="10">
        <v>3.93</v>
      </c>
      <c r="S205" s="6">
        <v>105</v>
      </c>
      <c r="T205" s="5">
        <f t="shared" si="3"/>
        <v>0.43827160493827161</v>
      </c>
    </row>
    <row r="206" spans="1:20" x14ac:dyDescent="0.2">
      <c r="A206" s="26">
        <v>2013</v>
      </c>
      <c r="B206" s="3" t="s">
        <v>1</v>
      </c>
      <c r="C206" s="4">
        <v>7889426</v>
      </c>
      <c r="D206" s="4">
        <v>34373528</v>
      </c>
      <c r="E206" s="4">
        <v>28749805</v>
      </c>
      <c r="F206" s="4">
        <v>14550000</v>
      </c>
      <c r="G206" s="4">
        <f>SUM(B206:F206)</f>
        <v>85562759</v>
      </c>
      <c r="H206" s="4">
        <v>70416136</v>
      </c>
      <c r="I206" s="4">
        <v>170734264</v>
      </c>
      <c r="J206" s="27">
        <f>G206/I206</f>
        <v>0.501145798127551</v>
      </c>
      <c r="K206" s="29">
        <f>H206/I206</f>
        <v>0.41243119190182004</v>
      </c>
      <c r="L206" s="6">
        <v>853</v>
      </c>
      <c r="M206" s="7">
        <v>0.79500000000000004</v>
      </c>
      <c r="N206" s="10">
        <v>36.200000000000003</v>
      </c>
      <c r="O206" s="6">
        <v>97</v>
      </c>
      <c r="P206" s="10">
        <v>3.79</v>
      </c>
      <c r="Q206" s="6">
        <v>90</v>
      </c>
      <c r="R206" s="10">
        <v>3.84</v>
      </c>
      <c r="S206" s="6">
        <v>99</v>
      </c>
      <c r="T206" s="5">
        <f t="shared" si="3"/>
        <v>0.59876543209876543</v>
      </c>
    </row>
    <row r="207" spans="1:20" x14ac:dyDescent="0.2">
      <c r="A207" s="26">
        <v>2012</v>
      </c>
      <c r="B207" s="3" t="s">
        <v>1</v>
      </c>
      <c r="C207" s="4">
        <v>2980000</v>
      </c>
      <c r="D207" s="4">
        <v>36309642</v>
      </c>
      <c r="E207" s="4">
        <v>36110139</v>
      </c>
      <c r="F207" s="4">
        <v>14575000</v>
      </c>
      <c r="G207" s="4">
        <f>SUM(B207:F207)</f>
        <v>89974781</v>
      </c>
      <c r="H207" s="4">
        <v>78480499</v>
      </c>
      <c r="I207" s="4">
        <v>175279051</v>
      </c>
      <c r="J207" s="27">
        <f>G207/I207</f>
        <v>0.51332307247601427</v>
      </c>
      <c r="K207" s="29">
        <f>H207/I207</f>
        <v>0.44774602870254016</v>
      </c>
      <c r="L207" s="6">
        <v>734</v>
      </c>
      <c r="M207" s="7">
        <v>0.73</v>
      </c>
      <c r="N207" s="10">
        <v>20.100000000000001</v>
      </c>
      <c r="O207" s="6">
        <v>69</v>
      </c>
      <c r="P207" s="10">
        <v>4.72</v>
      </c>
      <c r="Q207" s="6">
        <v>111</v>
      </c>
      <c r="R207" s="10">
        <v>4.41</v>
      </c>
      <c r="S207" s="6">
        <v>109</v>
      </c>
      <c r="T207" s="5">
        <f t="shared" si="3"/>
        <v>0.42592592592592593</v>
      </c>
    </row>
    <row r="208" spans="1:20" x14ac:dyDescent="0.2">
      <c r="A208" s="26">
        <v>2011</v>
      </c>
      <c r="B208" s="3" t="s">
        <v>1</v>
      </c>
      <c r="C208" s="4">
        <v>3257263</v>
      </c>
      <c r="D208" s="4">
        <v>34624007</v>
      </c>
      <c r="E208" s="4">
        <v>32661642</v>
      </c>
      <c r="F208" s="4">
        <v>12650000</v>
      </c>
      <c r="G208" s="4">
        <f>SUM(B208:F208)</f>
        <v>83192912</v>
      </c>
      <c r="H208" s="4">
        <v>81324678</v>
      </c>
      <c r="I208" s="4">
        <v>172553261</v>
      </c>
      <c r="J208" s="27">
        <f>G208/I208</f>
        <v>0.4821288888883995</v>
      </c>
      <c r="K208" s="29">
        <f>H208/I208</f>
        <v>0.47130188979737681</v>
      </c>
      <c r="L208" s="6">
        <v>875</v>
      </c>
      <c r="M208" s="7">
        <v>0.81</v>
      </c>
      <c r="N208" s="10">
        <v>36.299999999999997</v>
      </c>
      <c r="O208" s="6">
        <v>90</v>
      </c>
      <c r="P208" s="10">
        <v>4.2</v>
      </c>
      <c r="Q208" s="6">
        <v>99</v>
      </c>
      <c r="R208" s="10">
        <v>4.05</v>
      </c>
      <c r="S208" s="6">
        <v>102</v>
      </c>
      <c r="T208" s="5">
        <f t="shared" si="3"/>
        <v>0.55555555555555558</v>
      </c>
    </row>
    <row r="209" spans="1:20" x14ac:dyDescent="0.2">
      <c r="A209" s="26">
        <v>2019</v>
      </c>
      <c r="B209" s="3" t="s">
        <v>24</v>
      </c>
      <c r="C209" s="4">
        <v>4445000</v>
      </c>
      <c r="D209" s="4">
        <v>41340962</v>
      </c>
      <c r="E209" s="4">
        <v>1119000</v>
      </c>
      <c r="F209" s="4">
        <v>0</v>
      </c>
      <c r="G209" s="4">
        <f>SUM(B209:F209)</f>
        <v>46904962</v>
      </c>
      <c r="H209" s="4">
        <v>37475344</v>
      </c>
      <c r="I209" s="4">
        <v>128391569</v>
      </c>
      <c r="J209" s="27">
        <f>G209/I209</f>
        <v>0.36532743049506622</v>
      </c>
      <c r="K209" s="28">
        <f>H209/I209</f>
        <v>0.29188321547811291</v>
      </c>
      <c r="L209" s="8">
        <v>701</v>
      </c>
      <c r="M209" s="9">
        <v>0.73599999999999999</v>
      </c>
      <c r="N209" s="14">
        <v>11.1</v>
      </c>
      <c r="O209" s="8">
        <v>75</v>
      </c>
      <c r="P209" s="14">
        <v>4.18</v>
      </c>
      <c r="Q209" s="8">
        <v>93</v>
      </c>
      <c r="R209" s="14">
        <v>4.2300000000000004</v>
      </c>
      <c r="S209" s="8">
        <v>93</v>
      </c>
      <c r="T209" s="5">
        <f t="shared" si="3"/>
        <v>0.46296296296296297</v>
      </c>
    </row>
    <row r="210" spans="1:20" x14ac:dyDescent="0.2">
      <c r="A210" s="26">
        <v>2018</v>
      </c>
      <c r="B210" s="3" t="s">
        <v>24</v>
      </c>
      <c r="C210" s="4">
        <v>4794960</v>
      </c>
      <c r="D210" s="4">
        <v>34560474</v>
      </c>
      <c r="E210" s="4">
        <v>5678100</v>
      </c>
      <c r="F210" s="4">
        <v>0</v>
      </c>
      <c r="G210" s="4">
        <f>SUM(B210:F210)</f>
        <v>45033534</v>
      </c>
      <c r="H210" s="4">
        <v>37477765</v>
      </c>
      <c r="I210" s="4">
        <v>100305768</v>
      </c>
      <c r="J210" s="27">
        <f>G210/I210</f>
        <v>0.44896255617124631</v>
      </c>
      <c r="K210" s="28">
        <f>H210/I210</f>
        <v>0.37363519314263166</v>
      </c>
      <c r="L210" s="8">
        <v>696</v>
      </c>
      <c r="M210" s="9">
        <v>0.72899999999999998</v>
      </c>
      <c r="N210" s="14">
        <v>16.600000000000001</v>
      </c>
      <c r="O210" s="8">
        <v>67</v>
      </c>
      <c r="P210" s="14">
        <v>4.6500000000000004</v>
      </c>
      <c r="Q210" s="8">
        <v>113</v>
      </c>
      <c r="R210" s="14">
        <v>4.68</v>
      </c>
      <c r="S210" s="8">
        <v>113</v>
      </c>
      <c r="T210" s="5">
        <f t="shared" si="3"/>
        <v>0.41358024691358025</v>
      </c>
    </row>
    <row r="211" spans="1:20" x14ac:dyDescent="0.2">
      <c r="A211" s="26">
        <v>2017</v>
      </c>
      <c r="B211" s="3" t="s">
        <v>24</v>
      </c>
      <c r="C211" s="4">
        <v>1212305</v>
      </c>
      <c r="D211" s="4">
        <v>31075613</v>
      </c>
      <c r="E211" s="4">
        <v>4677951</v>
      </c>
      <c r="F211" s="4">
        <v>0</v>
      </c>
      <c r="G211" s="4">
        <f>SUM(B211:F211)</f>
        <v>36965869</v>
      </c>
      <c r="H211" s="4">
        <v>27602078</v>
      </c>
      <c r="I211" s="4">
        <v>96436003</v>
      </c>
      <c r="J211" s="27">
        <f>G211/I211</f>
        <v>0.38332021081379741</v>
      </c>
      <c r="K211" s="28">
        <f>H211/I211</f>
        <v>0.28622171327445001</v>
      </c>
      <c r="L211" s="8">
        <v>753</v>
      </c>
      <c r="M211" s="9">
        <v>0.76100000000000001</v>
      </c>
      <c r="N211" s="14">
        <v>19.399999999999999</v>
      </c>
      <c r="O211" s="8">
        <v>68</v>
      </c>
      <c r="P211" s="14">
        <v>5.17</v>
      </c>
      <c r="Q211" s="8">
        <v>116</v>
      </c>
      <c r="R211" s="14">
        <v>5.08</v>
      </c>
      <c r="S211" s="8">
        <v>115</v>
      </c>
      <c r="T211" s="5">
        <f t="shared" si="3"/>
        <v>0.41975308641975306</v>
      </c>
    </row>
    <row r="212" spans="1:20" x14ac:dyDescent="0.2">
      <c r="A212" s="26">
        <v>2016</v>
      </c>
      <c r="B212" s="3" t="s">
        <v>24</v>
      </c>
      <c r="C212" s="4">
        <f>5025000+517500</f>
        <v>5542500</v>
      </c>
      <c r="D212" s="4">
        <f>20000000+13000000+545000+517000+507500+2925000+507500</f>
        <v>38002000</v>
      </c>
      <c r="E212" s="4">
        <f>570000+510000+12541667+507500</f>
        <v>14129167</v>
      </c>
      <c r="F212" s="4">
        <v>0</v>
      </c>
      <c r="G212" s="4">
        <f>SUM(B212:F212)</f>
        <v>57673667</v>
      </c>
      <c r="H212" s="4">
        <f>22579100+8602961</f>
        <v>31182061</v>
      </c>
      <c r="I212" s="4">
        <v>90416228</v>
      </c>
      <c r="J212" s="27">
        <f>G212/I212</f>
        <v>0.63786853616587502</v>
      </c>
      <c r="K212" s="29">
        <f>H212/I212</f>
        <v>0.3448723939246835</v>
      </c>
      <c r="L212" s="6">
        <v>716</v>
      </c>
      <c r="M212" s="7">
        <v>0.72399999999999998</v>
      </c>
      <c r="N212" s="10">
        <v>12.1</v>
      </c>
      <c r="O212" s="6">
        <v>68</v>
      </c>
      <c r="P212" s="10">
        <v>4.91</v>
      </c>
      <c r="Q212" s="6">
        <v>116</v>
      </c>
      <c r="R212" s="10">
        <v>5.24</v>
      </c>
      <c r="S212" s="6">
        <v>123</v>
      </c>
      <c r="T212" s="5">
        <f t="shared" si="3"/>
        <v>0.41975308641975306</v>
      </c>
    </row>
    <row r="213" spans="1:20" x14ac:dyDescent="0.2">
      <c r="A213" s="26">
        <v>2015</v>
      </c>
      <c r="B213" s="3" t="s">
        <v>24</v>
      </c>
      <c r="C213" s="4">
        <v>1976830</v>
      </c>
      <c r="D213" s="4">
        <v>30071693</v>
      </c>
      <c r="E213" s="4">
        <v>16560981</v>
      </c>
      <c r="F213" s="4">
        <v>0</v>
      </c>
      <c r="G213" s="4">
        <f>SUM(B213:F213)</f>
        <v>48609504</v>
      </c>
      <c r="H213" s="4">
        <v>19836055</v>
      </c>
      <c r="I213" s="4">
        <v>116333097</v>
      </c>
      <c r="J213" s="27">
        <f>G213/I213</f>
        <v>0.41784758812017186</v>
      </c>
      <c r="K213" s="29">
        <f>H213/I213</f>
        <v>0.17051084782862783</v>
      </c>
      <c r="L213" s="6">
        <v>640</v>
      </c>
      <c r="M213" s="7">
        <v>0.70599999999999996</v>
      </c>
      <c r="N213" s="10">
        <v>16.5</v>
      </c>
      <c r="O213" s="6">
        <v>64</v>
      </c>
      <c r="P213" s="10">
        <v>4.3499999999999996</v>
      </c>
      <c r="Q213" s="6">
        <v>110</v>
      </c>
      <c r="R213" s="10">
        <v>4.24</v>
      </c>
      <c r="S213" s="6">
        <v>107</v>
      </c>
      <c r="T213" s="5">
        <f t="shared" si="3"/>
        <v>0.39506172839506171</v>
      </c>
    </row>
    <row r="214" spans="1:20" x14ac:dyDescent="0.2">
      <c r="A214" s="26">
        <v>2014</v>
      </c>
      <c r="B214" s="3" t="s">
        <v>24</v>
      </c>
      <c r="C214" s="4">
        <v>1596721</v>
      </c>
      <c r="D214" s="4">
        <v>26577185</v>
      </c>
      <c r="E214" s="4">
        <v>22949206</v>
      </c>
      <c r="F214" s="4">
        <v>0</v>
      </c>
      <c r="G214" s="4">
        <f>SUM(B214:F214)</f>
        <v>51123112</v>
      </c>
      <c r="H214" s="4">
        <v>48106819</v>
      </c>
      <c r="I214" s="4">
        <v>113351318</v>
      </c>
      <c r="J214" s="27">
        <f>G214/I214</f>
        <v>0.45101471162426182</v>
      </c>
      <c r="K214" s="29">
        <f>H214/I214</f>
        <v>0.42440458433840178</v>
      </c>
      <c r="L214" s="6">
        <v>595</v>
      </c>
      <c r="M214" s="7">
        <v>0.66100000000000003</v>
      </c>
      <c r="N214" s="10">
        <v>14.7</v>
      </c>
      <c r="O214" s="6">
        <v>76</v>
      </c>
      <c r="P214" s="10">
        <v>3.59</v>
      </c>
      <c r="Q214" s="6">
        <v>97</v>
      </c>
      <c r="R214" s="10">
        <v>4.01</v>
      </c>
      <c r="S214" s="6">
        <v>105</v>
      </c>
      <c r="T214" s="5">
        <f t="shared" si="3"/>
        <v>0.46913580246913578</v>
      </c>
    </row>
    <row r="215" spans="1:20" x14ac:dyDescent="0.2">
      <c r="A215" s="26">
        <v>2013</v>
      </c>
      <c r="B215" s="3" t="s">
        <v>24</v>
      </c>
      <c r="C215" s="4">
        <v>2647500</v>
      </c>
      <c r="D215" s="4">
        <v>32079071</v>
      </c>
      <c r="E215" s="4">
        <v>19255408</v>
      </c>
      <c r="F215" s="4">
        <v>0</v>
      </c>
      <c r="G215" s="4">
        <f>SUM(B215:F215)</f>
        <v>53981979</v>
      </c>
      <c r="H215" s="4">
        <v>43675504</v>
      </c>
      <c r="I215" s="4">
        <v>106804640</v>
      </c>
      <c r="J215" s="27">
        <f>G215/I215</f>
        <v>0.50542728293452421</v>
      </c>
      <c r="K215" s="29">
        <f>H215/I215</f>
        <v>0.40892890046724562</v>
      </c>
      <c r="L215" s="6">
        <v>698</v>
      </c>
      <c r="M215" s="7">
        <v>0.71799999999999997</v>
      </c>
      <c r="N215" s="10">
        <v>22.5</v>
      </c>
      <c r="O215" s="6">
        <v>90</v>
      </c>
      <c r="P215" s="10">
        <v>3.38</v>
      </c>
      <c r="Q215" s="6">
        <v>89</v>
      </c>
      <c r="R215" s="10">
        <v>3.81</v>
      </c>
      <c r="S215" s="6">
        <v>98</v>
      </c>
      <c r="T215" s="5">
        <f t="shared" si="3"/>
        <v>0.55555555555555558</v>
      </c>
    </row>
    <row r="216" spans="1:20" x14ac:dyDescent="0.2">
      <c r="A216" s="26">
        <v>2012</v>
      </c>
      <c r="B216" s="3" t="s">
        <v>24</v>
      </c>
      <c r="C216" s="4">
        <v>2580000</v>
      </c>
      <c r="D216" s="4">
        <v>36916668</v>
      </c>
      <c r="E216" s="4">
        <v>9728232</v>
      </c>
      <c r="F216" s="4">
        <v>0</v>
      </c>
      <c r="G216" s="4">
        <f>SUM(B216:F216)</f>
        <v>49224900</v>
      </c>
      <c r="H216" s="4">
        <v>39876598</v>
      </c>
      <c r="I216" s="4">
        <v>89901498</v>
      </c>
      <c r="J216" s="27">
        <f>G216/I216</f>
        <v>0.54754260045811476</v>
      </c>
      <c r="K216" s="29">
        <f>H216/I216</f>
        <v>0.44355877140111727</v>
      </c>
      <c r="L216" s="6">
        <v>669</v>
      </c>
      <c r="M216" s="7">
        <v>0.72599999999999998</v>
      </c>
      <c r="N216" s="10">
        <v>23.9</v>
      </c>
      <c r="O216" s="6">
        <v>97</v>
      </c>
      <c r="P216" s="10">
        <v>3.34</v>
      </c>
      <c r="Q216" s="6">
        <v>84</v>
      </c>
      <c r="R216" s="10">
        <v>3.72</v>
      </c>
      <c r="S216" s="6">
        <v>92</v>
      </c>
      <c r="T216" s="5">
        <f t="shared" si="3"/>
        <v>0.59876543209876543</v>
      </c>
    </row>
    <row r="217" spans="1:20" x14ac:dyDescent="0.2">
      <c r="A217" s="26">
        <v>2011</v>
      </c>
      <c r="B217" s="3" t="s">
        <v>24</v>
      </c>
      <c r="C217" s="4">
        <v>5072818</v>
      </c>
      <c r="D217" s="4">
        <v>33366057</v>
      </c>
      <c r="E217" s="4">
        <v>6310666</v>
      </c>
      <c r="F217" s="4">
        <v>0</v>
      </c>
      <c r="G217" s="4">
        <f>SUM(B217:F217)</f>
        <v>44749541</v>
      </c>
      <c r="H217" s="4">
        <v>34863333</v>
      </c>
      <c r="I217" s="4">
        <v>81920546</v>
      </c>
      <c r="J217" s="27">
        <f>G217/I217</f>
        <v>0.54625540459654653</v>
      </c>
      <c r="K217" s="29">
        <f>H217/I217</f>
        <v>0.42557495893643094</v>
      </c>
      <c r="L217" s="6">
        <v>735</v>
      </c>
      <c r="M217" s="7">
        <v>0.73399999999999999</v>
      </c>
      <c r="N217" s="10">
        <v>29.4</v>
      </c>
      <c r="O217" s="6">
        <v>79</v>
      </c>
      <c r="P217" s="10">
        <v>4.16</v>
      </c>
      <c r="Q217" s="6">
        <v>107</v>
      </c>
      <c r="R217" s="10">
        <v>4.37</v>
      </c>
      <c r="S217" s="6">
        <v>111</v>
      </c>
      <c r="T217" s="5">
        <f t="shared" si="3"/>
        <v>0.48765432098765432</v>
      </c>
    </row>
    <row r="218" spans="1:20" x14ac:dyDescent="0.2">
      <c r="A218" s="26">
        <v>2019</v>
      </c>
      <c r="B218" s="3" t="s">
        <v>15</v>
      </c>
      <c r="C218" s="4">
        <v>1237512</v>
      </c>
      <c r="D218" s="4">
        <v>42620242</v>
      </c>
      <c r="E218" s="4">
        <v>37689069</v>
      </c>
      <c r="F218" s="4">
        <v>0</v>
      </c>
      <c r="G218" s="4">
        <f>SUM(B218:F218)</f>
        <v>81546823</v>
      </c>
      <c r="H218" s="4">
        <v>39031389</v>
      </c>
      <c r="I218" s="4">
        <v>157162629</v>
      </c>
      <c r="J218" s="27">
        <f>G218/I218</f>
        <v>0.51886904360705244</v>
      </c>
      <c r="K218" s="28">
        <f>H218/I218</f>
        <v>0.24835031870076441</v>
      </c>
      <c r="L218" s="8">
        <v>835</v>
      </c>
      <c r="M218" s="9">
        <v>0.78200000000000003</v>
      </c>
      <c r="N218" s="14">
        <v>10.1</v>
      </c>
      <c r="O218" s="8">
        <v>71</v>
      </c>
      <c r="P218" s="14">
        <v>5.58</v>
      </c>
      <c r="Q218" s="8">
        <v>111</v>
      </c>
      <c r="R218" s="14">
        <v>5.23</v>
      </c>
      <c r="S218" s="8">
        <v>112</v>
      </c>
      <c r="T218" s="5">
        <f t="shared" si="3"/>
        <v>0.43827160493827161</v>
      </c>
    </row>
    <row r="219" spans="1:20" x14ac:dyDescent="0.2">
      <c r="A219" s="26">
        <v>2018</v>
      </c>
      <c r="B219" s="3" t="s">
        <v>15</v>
      </c>
      <c r="C219" s="4">
        <v>4785326</v>
      </c>
      <c r="D219" s="4">
        <v>49715449</v>
      </c>
      <c r="E219" s="4">
        <v>31433284</v>
      </c>
      <c r="F219" s="4">
        <v>0</v>
      </c>
      <c r="G219" s="4">
        <f>SUM(B219:F219)</f>
        <v>85934059</v>
      </c>
      <c r="H219" s="4">
        <v>45279109</v>
      </c>
      <c r="I219" s="4">
        <v>143968544</v>
      </c>
      <c r="J219" s="27">
        <f>G219/I219</f>
        <v>0.59689468693939141</v>
      </c>
      <c r="K219" s="28">
        <f>H219/I219</f>
        <v>0.31450695924243005</v>
      </c>
      <c r="L219" s="8">
        <v>780</v>
      </c>
      <c r="M219" s="9">
        <v>0.75700000000000001</v>
      </c>
      <c r="N219" s="14">
        <v>16.399999999999999</v>
      </c>
      <c r="O219" s="8">
        <v>91</v>
      </c>
      <c r="P219" s="14">
        <v>4.33</v>
      </c>
      <c r="Q219" s="8">
        <v>94</v>
      </c>
      <c r="R219" s="14">
        <v>4.0599999999999996</v>
      </c>
      <c r="S219" s="8">
        <v>94</v>
      </c>
      <c r="T219" s="5">
        <f t="shared" si="3"/>
        <v>0.56172839506172845</v>
      </c>
    </row>
    <row r="220" spans="1:20" x14ac:dyDescent="0.2">
      <c r="A220" s="26">
        <v>2017</v>
      </c>
      <c r="B220" s="3" t="s">
        <v>15</v>
      </c>
      <c r="C220" s="4">
        <v>3804064</v>
      </c>
      <c r="D220" s="4">
        <v>20289215</v>
      </c>
      <c r="E220" s="4">
        <v>44152406</v>
      </c>
      <c r="F220" s="4">
        <v>0</v>
      </c>
      <c r="G220" s="4">
        <f>SUM(B220:F220)</f>
        <v>68245685</v>
      </c>
      <c r="H220" s="4">
        <v>36783399</v>
      </c>
      <c r="I220" s="4">
        <v>139324341</v>
      </c>
      <c r="J220" s="27">
        <f>G220/I220</f>
        <v>0.48983317997534975</v>
      </c>
      <c r="K220" s="28">
        <f>H220/I220</f>
        <v>0.26401272552941774</v>
      </c>
      <c r="L220" s="8">
        <v>824</v>
      </c>
      <c r="M220" s="9">
        <v>0.78100000000000003</v>
      </c>
      <c r="N220" s="14">
        <v>13.7</v>
      </c>
      <c r="O220" s="8">
        <v>87</v>
      </c>
      <c r="P220" s="14">
        <v>4.51</v>
      </c>
      <c r="Q220" s="8">
        <v>91</v>
      </c>
      <c r="R220" s="14">
        <v>4.32</v>
      </c>
      <c r="S220" s="8">
        <v>94</v>
      </c>
      <c r="T220" s="5">
        <f t="shared" si="3"/>
        <v>0.53703703703703709</v>
      </c>
    </row>
    <row r="221" spans="1:20" x14ac:dyDescent="0.2">
      <c r="A221" s="26">
        <v>2016</v>
      </c>
      <c r="B221" s="3" t="s">
        <v>15</v>
      </c>
      <c r="C221" s="4">
        <f>3150000+507500</f>
        <v>3657500</v>
      </c>
      <c r="D221" s="4">
        <f>2600000+512500+3000000+5000000+1500000+509500+2100000+507500</f>
        <v>15729500</v>
      </c>
      <c r="E221" s="4">
        <f>3500000+8000000+1000000+17428571</f>
        <v>29928571</v>
      </c>
      <c r="F221" s="4">
        <v>0</v>
      </c>
      <c r="G221" s="4">
        <f>SUM(B221:F221)</f>
        <v>49315571</v>
      </c>
      <c r="H221" s="4">
        <f>15031500+25279000</f>
        <v>40310500</v>
      </c>
      <c r="I221" s="4">
        <v>112645071</v>
      </c>
      <c r="J221" s="27">
        <f>G221/I221</f>
        <v>0.43779608430447881</v>
      </c>
      <c r="K221" s="29">
        <f>H221/I221</f>
        <v>0.35785409554227188</v>
      </c>
      <c r="L221" s="6">
        <v>845</v>
      </c>
      <c r="M221" s="7">
        <v>0.79400000000000004</v>
      </c>
      <c r="N221" s="10">
        <v>18.5</v>
      </c>
      <c r="O221" s="6">
        <v>75</v>
      </c>
      <c r="P221" s="10">
        <v>4.92</v>
      </c>
      <c r="Q221" s="6">
        <v>102</v>
      </c>
      <c r="R221" s="10">
        <v>4.38</v>
      </c>
      <c r="S221" s="6">
        <v>99</v>
      </c>
      <c r="T221" s="5">
        <f t="shared" si="3"/>
        <v>0.46296296296296297</v>
      </c>
    </row>
    <row r="222" spans="1:20" x14ac:dyDescent="0.2">
      <c r="A222" s="26">
        <v>2015</v>
      </c>
      <c r="B222" s="3" t="s">
        <v>15</v>
      </c>
      <c r="C222" s="4">
        <v>3227568</v>
      </c>
      <c r="D222" s="4">
        <v>21680593</v>
      </c>
      <c r="E222" s="4">
        <v>17896821</v>
      </c>
      <c r="F222" s="4">
        <v>0</v>
      </c>
      <c r="G222" s="4">
        <f>SUM(B222:F222)</f>
        <v>42804982</v>
      </c>
      <c r="H222" s="4">
        <v>32125666</v>
      </c>
      <c r="I222" s="4">
        <v>106860781</v>
      </c>
      <c r="J222" s="27">
        <f>G222/I222</f>
        <v>0.40056774430649161</v>
      </c>
      <c r="K222" s="29">
        <f>H222/I222</f>
        <v>0.30063102383651863</v>
      </c>
      <c r="L222" s="6">
        <v>737</v>
      </c>
      <c r="M222" s="7">
        <v>0.748</v>
      </c>
      <c r="N222" s="10">
        <v>9.6999999999999993</v>
      </c>
      <c r="O222" s="6">
        <v>68</v>
      </c>
      <c r="P222" s="10">
        <v>5.04</v>
      </c>
      <c r="Q222" s="6">
        <v>112</v>
      </c>
      <c r="R222" s="10">
        <v>4.5599999999999996</v>
      </c>
      <c r="S222" s="6">
        <v>110</v>
      </c>
      <c r="T222" s="5">
        <f t="shared" si="3"/>
        <v>0.41975308641975306</v>
      </c>
    </row>
    <row r="223" spans="1:20" x14ac:dyDescent="0.2">
      <c r="A223" s="26">
        <v>2014</v>
      </c>
      <c r="B223" s="3" t="s">
        <v>15</v>
      </c>
      <c r="C223" s="4">
        <v>957649</v>
      </c>
      <c r="D223" s="4">
        <v>23564398</v>
      </c>
      <c r="E223" s="4">
        <v>28112537</v>
      </c>
      <c r="F223" s="4">
        <v>0</v>
      </c>
      <c r="G223" s="4">
        <f>SUM(B223:F223)</f>
        <v>52634584</v>
      </c>
      <c r="H223" s="4">
        <v>43821999</v>
      </c>
      <c r="I223" s="4">
        <v>96659578</v>
      </c>
      <c r="J223" s="27">
        <f>G223/I223</f>
        <v>0.54453562791263166</v>
      </c>
      <c r="K223" s="29">
        <f>H223/I223</f>
        <v>0.45336426980883365</v>
      </c>
      <c r="L223" s="6">
        <v>755</v>
      </c>
      <c r="M223" s="7">
        <v>0.77200000000000002</v>
      </c>
      <c r="N223" s="10">
        <v>17</v>
      </c>
      <c r="O223" s="6">
        <v>66</v>
      </c>
      <c r="P223" s="10">
        <v>4.8600000000000003</v>
      </c>
      <c r="Q223" s="6">
        <v>113</v>
      </c>
      <c r="R223" s="10">
        <v>4.43</v>
      </c>
      <c r="S223" s="6">
        <v>111</v>
      </c>
      <c r="T223" s="5">
        <f t="shared" si="3"/>
        <v>0.40740740740740738</v>
      </c>
    </row>
    <row r="224" spans="1:20" x14ac:dyDescent="0.2">
      <c r="A224" s="26">
        <v>2013</v>
      </c>
      <c r="B224" s="3" t="s">
        <v>15</v>
      </c>
      <c r="C224" s="4">
        <v>1000000</v>
      </c>
      <c r="D224" s="4">
        <v>18669708</v>
      </c>
      <c r="E224" s="4">
        <v>22989008</v>
      </c>
      <c r="F224" s="4">
        <v>0</v>
      </c>
      <c r="G224" s="4">
        <f>SUM(B224:F224)</f>
        <v>42658716</v>
      </c>
      <c r="H224" s="4">
        <v>31361638</v>
      </c>
      <c r="I224" s="4">
        <v>79271624</v>
      </c>
      <c r="J224" s="27">
        <f>G224/I224</f>
        <v>0.53813349402303146</v>
      </c>
      <c r="K224" s="29">
        <f>H224/I224</f>
        <v>0.39562249916817649</v>
      </c>
      <c r="L224" s="6">
        <v>706</v>
      </c>
      <c r="M224" s="7">
        <v>0.74099999999999999</v>
      </c>
      <c r="N224" s="10">
        <v>13.7</v>
      </c>
      <c r="O224" s="6">
        <v>74</v>
      </c>
      <c r="P224" s="10">
        <v>4.4400000000000004</v>
      </c>
      <c r="Q224" s="6">
        <v>101</v>
      </c>
      <c r="R224" s="10">
        <v>3.96</v>
      </c>
      <c r="S224" s="6">
        <v>98</v>
      </c>
      <c r="T224" s="5">
        <f t="shared" si="3"/>
        <v>0.4567901234567901</v>
      </c>
    </row>
    <row r="225" spans="1:20" x14ac:dyDescent="0.2">
      <c r="A225" s="26">
        <v>2012</v>
      </c>
      <c r="B225" s="3" t="s">
        <v>15</v>
      </c>
      <c r="C225" s="4">
        <v>3200000</v>
      </c>
      <c r="D225" s="4">
        <v>17497000</v>
      </c>
      <c r="E225" s="4">
        <v>20249571</v>
      </c>
      <c r="F225" s="4">
        <v>1000000</v>
      </c>
      <c r="G225" s="4">
        <f>SUM(B225:F225)</f>
        <v>41946571</v>
      </c>
      <c r="H225" s="4">
        <v>35429885</v>
      </c>
      <c r="I225" s="4">
        <v>88210881</v>
      </c>
      <c r="J225" s="27">
        <f>G225/I225</f>
        <v>0.47552604082936206</v>
      </c>
      <c r="K225" s="29">
        <f>H225/I225</f>
        <v>0.40164982594380844</v>
      </c>
      <c r="L225" s="6">
        <v>758</v>
      </c>
      <c r="M225" s="7">
        <v>0.76600000000000001</v>
      </c>
      <c r="N225" s="10">
        <v>10.3</v>
      </c>
      <c r="O225" s="6">
        <v>64</v>
      </c>
      <c r="P225" s="10">
        <v>5.22</v>
      </c>
      <c r="Q225" s="6">
        <v>113</v>
      </c>
      <c r="R225" s="10">
        <v>4.59</v>
      </c>
      <c r="S225" s="6">
        <v>109</v>
      </c>
      <c r="T225" s="5">
        <f t="shared" si="3"/>
        <v>0.39506172839506171</v>
      </c>
    </row>
    <row r="226" spans="1:20" x14ac:dyDescent="0.2">
      <c r="A226" s="26">
        <v>2011</v>
      </c>
      <c r="B226" s="3" t="s">
        <v>15</v>
      </c>
      <c r="C226" s="4">
        <v>3053333</v>
      </c>
      <c r="D226" s="4">
        <v>26809500</v>
      </c>
      <c r="E226" s="4">
        <v>5059571</v>
      </c>
      <c r="F226" s="4">
        <v>1000000</v>
      </c>
      <c r="G226" s="4">
        <f>SUM(B226:F226)</f>
        <v>35922404</v>
      </c>
      <c r="H226" s="4">
        <v>41809568</v>
      </c>
      <c r="I226" s="4">
        <v>83262170</v>
      </c>
      <c r="J226" s="27">
        <f>G226/I226</f>
        <v>0.43143727817807292</v>
      </c>
      <c r="K226" s="29">
        <f>H226/I226</f>
        <v>0.50214362657134681</v>
      </c>
      <c r="L226" s="6">
        <v>735</v>
      </c>
      <c r="M226" s="7">
        <v>0.73899999999999999</v>
      </c>
      <c r="N226" s="10">
        <v>11.7</v>
      </c>
      <c r="O226" s="6">
        <v>73</v>
      </c>
      <c r="P226" s="10">
        <v>4.4400000000000004</v>
      </c>
      <c r="Q226" s="6">
        <v>101</v>
      </c>
      <c r="R226" s="10">
        <v>4.24</v>
      </c>
      <c r="S226" s="6">
        <v>104</v>
      </c>
      <c r="T226" s="5">
        <f t="shared" si="3"/>
        <v>0.45061728395061729</v>
      </c>
    </row>
    <row r="227" spans="1:20" x14ac:dyDescent="0.2">
      <c r="A227" s="26">
        <v>2019</v>
      </c>
      <c r="B227" s="3" t="s">
        <v>12</v>
      </c>
      <c r="C227" s="4">
        <v>942061</v>
      </c>
      <c r="D227" s="4">
        <v>3407459</v>
      </c>
      <c r="E227" s="4">
        <v>20373000</v>
      </c>
      <c r="F227" s="4">
        <v>5224207</v>
      </c>
      <c r="G227" s="4">
        <f>SUM(B227:F227)</f>
        <v>29946727</v>
      </c>
      <c r="H227" s="4">
        <v>38678605</v>
      </c>
      <c r="I227" s="4">
        <v>104773003</v>
      </c>
      <c r="J227" s="27">
        <f>G227/I227</f>
        <v>0.28582484172950545</v>
      </c>
      <c r="K227" s="28">
        <f>H227/I227</f>
        <v>0.36916575732777268</v>
      </c>
      <c r="L227" s="8">
        <v>691</v>
      </c>
      <c r="M227" s="9">
        <v>0.71</v>
      </c>
      <c r="N227" s="14">
        <v>9.3000000000000007</v>
      </c>
      <c r="O227" s="8">
        <v>59</v>
      </c>
      <c r="P227" s="14">
        <v>5.2</v>
      </c>
      <c r="Q227" s="8">
        <v>111</v>
      </c>
      <c r="R227" s="14">
        <v>4.9000000000000004</v>
      </c>
      <c r="S227" s="8">
        <v>109</v>
      </c>
      <c r="T227" s="5">
        <f t="shared" si="3"/>
        <v>0.36419753086419754</v>
      </c>
    </row>
    <row r="228" spans="1:20" x14ac:dyDescent="0.2">
      <c r="A228" s="26">
        <v>2018</v>
      </c>
      <c r="B228" s="3" t="s">
        <v>12</v>
      </c>
      <c r="C228" s="4">
        <v>8957840</v>
      </c>
      <c r="D228" s="4">
        <v>5557520</v>
      </c>
      <c r="E228" s="4">
        <v>20963788</v>
      </c>
      <c r="F228" s="4">
        <v>0</v>
      </c>
      <c r="G228" s="4">
        <f>SUM(B228:F228)</f>
        <v>35479148</v>
      </c>
      <c r="H228" s="4">
        <v>48139080</v>
      </c>
      <c r="I228" s="4">
        <v>129944821</v>
      </c>
      <c r="J228" s="27">
        <f>G228/I228</f>
        <v>0.27303241273463297</v>
      </c>
      <c r="K228" s="28">
        <f>H228/I228</f>
        <v>0.37045785764713163</v>
      </c>
      <c r="L228" s="8">
        <v>638</v>
      </c>
      <c r="M228" s="9">
        <v>0.69699999999999995</v>
      </c>
      <c r="N228" s="14">
        <v>11.8</v>
      </c>
      <c r="O228" s="8">
        <v>58</v>
      </c>
      <c r="P228" s="14">
        <v>4.95</v>
      </c>
      <c r="Q228" s="8">
        <v>114</v>
      </c>
      <c r="R228" s="14">
        <v>4.66</v>
      </c>
      <c r="S228" s="8">
        <v>112</v>
      </c>
      <c r="T228" s="5">
        <f t="shared" si="3"/>
        <v>0.35802469135802467</v>
      </c>
    </row>
    <row r="229" spans="1:20" x14ac:dyDescent="0.2">
      <c r="A229" s="26">
        <v>2017</v>
      </c>
      <c r="B229" s="3" t="s">
        <v>12</v>
      </c>
      <c r="C229" s="4">
        <v>5837381</v>
      </c>
      <c r="D229" s="4">
        <v>28905367</v>
      </c>
      <c r="E229" s="4">
        <v>34297791</v>
      </c>
      <c r="F229" s="4">
        <v>3750000</v>
      </c>
      <c r="G229" s="4">
        <f>SUM(B229:F229)</f>
        <v>72790539</v>
      </c>
      <c r="H229" s="4">
        <v>52888152</v>
      </c>
      <c r="I229" s="4">
        <v>148227822</v>
      </c>
      <c r="J229" s="27">
        <f>G229/I229</f>
        <v>0.4910720404432577</v>
      </c>
      <c r="K229" s="28">
        <f>H229/I229</f>
        <v>0.35680313780769174</v>
      </c>
      <c r="L229" s="8">
        <v>702</v>
      </c>
      <c r="M229" s="9">
        <v>0.73099999999999998</v>
      </c>
      <c r="N229" s="14">
        <v>11.1</v>
      </c>
      <c r="O229" s="8">
        <v>80</v>
      </c>
      <c r="P229" s="14">
        <v>4.63</v>
      </c>
      <c r="Q229" s="8">
        <v>104</v>
      </c>
      <c r="R229" s="14">
        <v>4.43</v>
      </c>
      <c r="S229" s="8">
        <v>103</v>
      </c>
      <c r="T229" s="5">
        <f t="shared" si="3"/>
        <v>0.49382716049382713</v>
      </c>
    </row>
    <row r="230" spans="1:20" x14ac:dyDescent="0.2">
      <c r="A230" s="26">
        <v>2016</v>
      </c>
      <c r="B230" s="3" t="s">
        <v>12</v>
      </c>
      <c r="C230" s="4">
        <f>2000000+1162500</f>
        <v>3162500</v>
      </c>
      <c r="D230" s="4">
        <f>8250000+7750000+518425+5600000+5250000</f>
        <v>27368425</v>
      </c>
      <c r="E230" s="4">
        <f>6500000+1725000+12000000+508500+514250+508450</f>
        <v>21756200</v>
      </c>
      <c r="F230" s="4">
        <v>9000000</v>
      </c>
      <c r="G230" s="4">
        <f>SUM(B230:F230)</f>
        <v>61287125</v>
      </c>
      <c r="H230" s="4">
        <f>42675000+24050000</f>
        <v>66725000</v>
      </c>
      <c r="I230" s="4">
        <v>131487125</v>
      </c>
      <c r="J230" s="27">
        <f>G230/I230</f>
        <v>0.46610742306518604</v>
      </c>
      <c r="K230" s="29">
        <f>H230/I230</f>
        <v>0.50746413384580424</v>
      </c>
      <c r="L230" s="6">
        <v>675</v>
      </c>
      <c r="M230" s="7">
        <v>0.71199999999999997</v>
      </c>
      <c r="N230" s="10">
        <v>11.8</v>
      </c>
      <c r="O230" s="6">
        <v>81</v>
      </c>
      <c r="P230" s="10">
        <v>4.21</v>
      </c>
      <c r="Q230" s="6">
        <v>99</v>
      </c>
      <c r="R230" s="10">
        <v>4.42</v>
      </c>
      <c r="S230" s="6">
        <v>106</v>
      </c>
      <c r="T230" s="5">
        <f t="shared" si="3"/>
        <v>0.5</v>
      </c>
    </row>
    <row r="231" spans="1:20" x14ac:dyDescent="0.2">
      <c r="A231" s="26">
        <v>2015</v>
      </c>
      <c r="B231" s="3" t="s">
        <v>12</v>
      </c>
      <c r="C231" s="4">
        <v>2756718</v>
      </c>
      <c r="D231" s="4">
        <v>22314531</v>
      </c>
      <c r="E231" s="4">
        <v>28390355</v>
      </c>
      <c r="F231" s="4">
        <v>7250000</v>
      </c>
      <c r="G231" s="4">
        <f>SUM(B231:F231)</f>
        <v>60711604</v>
      </c>
      <c r="H231" s="4">
        <v>51029287</v>
      </c>
      <c r="I231" s="4">
        <v>126529835</v>
      </c>
      <c r="J231" s="27">
        <f>G231/I231</f>
        <v>0.47982046289714991</v>
      </c>
      <c r="K231" s="29">
        <f>H231/I231</f>
        <v>0.40329845526155944</v>
      </c>
      <c r="L231" s="6">
        <v>724</v>
      </c>
      <c r="M231" s="7">
        <v>0.73399999999999999</v>
      </c>
      <c r="N231" s="10">
        <v>21.8</v>
      </c>
      <c r="O231" s="6">
        <v>95</v>
      </c>
      <c r="P231" s="10">
        <v>3.74</v>
      </c>
      <c r="Q231" s="6">
        <v>92</v>
      </c>
      <c r="R231" s="10">
        <v>4.04</v>
      </c>
      <c r="S231" s="6">
        <v>102</v>
      </c>
      <c r="T231" s="5">
        <f t="shared" si="3"/>
        <v>0.5864197530864198</v>
      </c>
    </row>
    <row r="232" spans="1:20" x14ac:dyDescent="0.2">
      <c r="A232" s="26">
        <v>2014</v>
      </c>
      <c r="B232" s="3" t="s">
        <v>12</v>
      </c>
      <c r="C232" s="4">
        <v>1772854</v>
      </c>
      <c r="D232" s="4">
        <v>12462443</v>
      </c>
      <c r="E232" s="4">
        <v>16864969</v>
      </c>
      <c r="F232" s="4">
        <v>9000000</v>
      </c>
      <c r="G232" s="4">
        <f>SUM(B232:F232)</f>
        <v>40100266</v>
      </c>
      <c r="H232" s="4">
        <v>50436582</v>
      </c>
      <c r="I232" s="4">
        <v>98558300</v>
      </c>
      <c r="J232" s="27">
        <f>G232/I232</f>
        <v>0.40686848291823213</v>
      </c>
      <c r="K232" s="29">
        <f>H232/I232</f>
        <v>0.51174362788319194</v>
      </c>
      <c r="L232" s="6">
        <v>651</v>
      </c>
      <c r="M232" s="7">
        <v>0.69</v>
      </c>
      <c r="N232" s="10">
        <v>18.8</v>
      </c>
      <c r="O232" s="6">
        <v>89</v>
      </c>
      <c r="P232" s="10">
        <v>3.51</v>
      </c>
      <c r="Q232" s="6">
        <v>89</v>
      </c>
      <c r="R232" s="10">
        <v>3.69</v>
      </c>
      <c r="S232" s="6">
        <v>99</v>
      </c>
      <c r="T232" s="5">
        <f t="shared" si="3"/>
        <v>0.54938271604938271</v>
      </c>
    </row>
    <row r="233" spans="1:20" x14ac:dyDescent="0.2">
      <c r="A233" s="26">
        <v>2013</v>
      </c>
      <c r="B233" s="3" t="s">
        <v>12</v>
      </c>
      <c r="C233" s="4">
        <v>2171311</v>
      </c>
      <c r="D233" s="4">
        <v>6432678</v>
      </c>
      <c r="E233" s="4">
        <v>11399624</v>
      </c>
      <c r="F233" s="4">
        <v>8500000</v>
      </c>
      <c r="G233" s="4">
        <f>SUM(B233:F233)</f>
        <v>28503613</v>
      </c>
      <c r="H233" s="4">
        <v>46991060</v>
      </c>
      <c r="I233" s="4">
        <v>85398434</v>
      </c>
      <c r="J233" s="27">
        <f>G233/I233</f>
        <v>0.33377208064494485</v>
      </c>
      <c r="K233" s="29">
        <f>H233/I233</f>
        <v>0.55025669440261638</v>
      </c>
      <c r="L233" s="6">
        <v>648</v>
      </c>
      <c r="M233" s="7">
        <v>0.69399999999999995</v>
      </c>
      <c r="N233" s="10">
        <v>19.399999999999999</v>
      </c>
      <c r="O233" s="6">
        <v>86</v>
      </c>
      <c r="P233" s="10">
        <v>3.45</v>
      </c>
      <c r="Q233" s="6">
        <v>85</v>
      </c>
      <c r="R233" s="10">
        <v>3.83</v>
      </c>
      <c r="S233" s="6">
        <v>98</v>
      </c>
      <c r="T233" s="5">
        <f t="shared" si="3"/>
        <v>0.53086419753086422</v>
      </c>
    </row>
    <row r="234" spans="1:20" x14ac:dyDescent="0.2">
      <c r="A234" s="26">
        <v>2012</v>
      </c>
      <c r="B234" s="3" t="s">
        <v>12</v>
      </c>
      <c r="C234" s="4">
        <v>3105425</v>
      </c>
      <c r="D234" s="4">
        <v>6880850</v>
      </c>
      <c r="E234" s="4">
        <v>16052475</v>
      </c>
      <c r="F234" s="4">
        <v>8500000</v>
      </c>
      <c r="G234" s="4">
        <f>SUM(B234:F234)</f>
        <v>34538750</v>
      </c>
      <c r="H234" s="4">
        <v>31846250</v>
      </c>
      <c r="I234" s="4">
        <v>70344235</v>
      </c>
      <c r="J234" s="27">
        <f>G234/I234</f>
        <v>0.49099617047509297</v>
      </c>
      <c r="K234" s="29">
        <f>H234/I234</f>
        <v>0.45272011274271445</v>
      </c>
      <c r="L234" s="6">
        <v>676</v>
      </c>
      <c r="M234" s="7">
        <v>0.71599999999999997</v>
      </c>
      <c r="N234" s="10">
        <v>12.7</v>
      </c>
      <c r="O234" s="6">
        <v>72</v>
      </c>
      <c r="P234" s="10">
        <v>4.3</v>
      </c>
      <c r="Q234" s="6">
        <v>104</v>
      </c>
      <c r="R234" s="10">
        <v>4.18</v>
      </c>
      <c r="S234" s="6">
        <v>102</v>
      </c>
      <c r="T234" s="5">
        <f t="shared" si="3"/>
        <v>0.44444444444444442</v>
      </c>
    </row>
    <row r="235" spans="1:20" x14ac:dyDescent="0.2">
      <c r="A235" s="26">
        <v>2011</v>
      </c>
      <c r="B235" s="3" t="s">
        <v>12</v>
      </c>
      <c r="C235" s="4">
        <v>2259500</v>
      </c>
      <c r="D235" s="4">
        <v>29902000</v>
      </c>
      <c r="E235" s="4">
        <v>9467500</v>
      </c>
      <c r="F235" s="4">
        <v>414000</v>
      </c>
      <c r="G235" s="4">
        <f>SUM(B235:F235)</f>
        <v>42043000</v>
      </c>
      <c r="H235" s="4">
        <v>30055000</v>
      </c>
      <c r="I235" s="4">
        <v>85574503</v>
      </c>
      <c r="J235" s="27">
        <f>G235/I235</f>
        <v>0.49130288258875426</v>
      </c>
      <c r="K235" s="29">
        <f>H235/I235</f>
        <v>0.35121442656815666</v>
      </c>
      <c r="L235" s="6">
        <v>730</v>
      </c>
      <c r="M235" s="7">
        <v>0.74399999999999999</v>
      </c>
      <c r="N235" s="10">
        <v>19.8</v>
      </c>
      <c r="O235" s="6">
        <v>71</v>
      </c>
      <c r="P235" s="10">
        <v>4.45</v>
      </c>
      <c r="Q235" s="6">
        <v>107</v>
      </c>
      <c r="R235" s="10">
        <v>4.2699999999999996</v>
      </c>
      <c r="S235" s="6">
        <v>106</v>
      </c>
      <c r="T235" s="5">
        <f t="shared" si="3"/>
        <v>0.43827160493827161</v>
      </c>
    </row>
    <row r="236" spans="1:20" x14ac:dyDescent="0.2">
      <c r="A236" s="26">
        <v>2019</v>
      </c>
      <c r="B236" s="3" t="s">
        <v>4</v>
      </c>
      <c r="C236" s="4">
        <v>713536</v>
      </c>
      <c r="D236" s="4">
        <v>37606120</v>
      </c>
      <c r="E236" s="4">
        <v>953121</v>
      </c>
      <c r="F236" s="4">
        <v>0</v>
      </c>
      <c r="G236" s="4">
        <f>SUM(B236:F236)</f>
        <v>39272777</v>
      </c>
      <c r="H236" s="4">
        <v>33436969</v>
      </c>
      <c r="I236" s="4">
        <v>114631137</v>
      </c>
      <c r="J236" s="27">
        <f>G236/I236</f>
        <v>0.34260130386737769</v>
      </c>
      <c r="K236" s="28">
        <f>H236/I236</f>
        <v>0.29169185506726675</v>
      </c>
      <c r="L236" s="8">
        <v>582</v>
      </c>
      <c r="M236" s="9">
        <v>0.68200000000000005</v>
      </c>
      <c r="N236" s="14">
        <v>-2.6</v>
      </c>
      <c r="O236" s="8">
        <v>47</v>
      </c>
      <c r="P236" s="14">
        <v>5.26</v>
      </c>
      <c r="Q236" s="8">
        <v>113</v>
      </c>
      <c r="R236" s="14">
        <v>4.84</v>
      </c>
      <c r="S236" s="8">
        <v>104</v>
      </c>
      <c r="T236" s="5">
        <f t="shared" si="3"/>
        <v>0.29012345679012347</v>
      </c>
    </row>
    <row r="237" spans="1:20" x14ac:dyDescent="0.2">
      <c r="A237" s="26">
        <v>2018</v>
      </c>
      <c r="B237" s="3" t="s">
        <v>4</v>
      </c>
      <c r="C237" s="4">
        <v>2747820</v>
      </c>
      <c r="D237" s="4">
        <v>1655860</v>
      </c>
      <c r="E237" s="4">
        <v>7764821</v>
      </c>
      <c r="F237" s="4">
        <v>18000000</v>
      </c>
      <c r="G237" s="4">
        <f>SUM(B237:F237)</f>
        <v>30168501</v>
      </c>
      <c r="H237" s="4">
        <v>36879015</v>
      </c>
      <c r="I237" s="4">
        <v>130959889</v>
      </c>
      <c r="J237" s="27">
        <f>G237/I237</f>
        <v>0.23036443624352798</v>
      </c>
      <c r="K237" s="28">
        <f>H237/I237</f>
        <v>0.28160542347435863</v>
      </c>
      <c r="L237" s="8">
        <v>630</v>
      </c>
      <c r="M237" s="9">
        <v>0.68</v>
      </c>
      <c r="N237" s="14">
        <v>6.7</v>
      </c>
      <c r="O237" s="8">
        <v>64</v>
      </c>
      <c r="P237" s="14">
        <v>4.5999999999999996</v>
      </c>
      <c r="Q237" s="8">
        <v>106</v>
      </c>
      <c r="R237" s="14">
        <v>4.59</v>
      </c>
      <c r="S237" s="8">
        <v>107</v>
      </c>
      <c r="T237" s="5">
        <f t="shared" si="3"/>
        <v>0.39506172839506171</v>
      </c>
    </row>
    <row r="238" spans="1:20" x14ac:dyDescent="0.2">
      <c r="A238" s="26">
        <v>2017</v>
      </c>
      <c r="B238" s="3" t="s">
        <v>4</v>
      </c>
      <c r="C238" s="4">
        <v>932090</v>
      </c>
      <c r="D238" s="4">
        <v>48121949</v>
      </c>
      <c r="E238" s="4">
        <v>1452143</v>
      </c>
      <c r="F238" s="4">
        <v>0</v>
      </c>
      <c r="G238" s="4">
        <f>SUM(B238:F238)</f>
        <v>50506182</v>
      </c>
      <c r="H238" s="4">
        <v>40249148</v>
      </c>
      <c r="I238" s="4">
        <v>188498884</v>
      </c>
      <c r="J238" s="27">
        <f>G238/I238</f>
        <v>0.26793889135173871</v>
      </c>
      <c r="K238" s="28">
        <f>H238/I238</f>
        <v>0.21352459572121393</v>
      </c>
      <c r="L238" s="8">
        <v>735</v>
      </c>
      <c r="M238" s="9">
        <v>0.748</v>
      </c>
      <c r="N238" s="14">
        <v>14.2</v>
      </c>
      <c r="O238" s="8">
        <v>64</v>
      </c>
      <c r="P238" s="14">
        <v>5.36</v>
      </c>
      <c r="Q238" s="8">
        <v>121</v>
      </c>
      <c r="R238" s="14">
        <v>4.7300000000000004</v>
      </c>
      <c r="S238" s="8">
        <v>106</v>
      </c>
      <c r="T238" s="5">
        <f t="shared" si="3"/>
        <v>0.39506172839506171</v>
      </c>
    </row>
    <row r="239" spans="1:20" x14ac:dyDescent="0.2">
      <c r="A239" s="26">
        <v>2016</v>
      </c>
      <c r="B239" s="3" t="s">
        <v>4</v>
      </c>
      <c r="C239" s="4">
        <f>519500+507500</f>
        <v>1027000</v>
      </c>
      <c r="D239" s="4">
        <f>28000000+14000000+900000+536500+2100000</f>
        <v>45536500</v>
      </c>
      <c r="E239" s="4">
        <f>5600000+525000+510500+22125000+6750000+2000000</f>
        <v>37510500</v>
      </c>
      <c r="F239" s="4">
        <v>18000000</v>
      </c>
      <c r="G239" s="4">
        <f>SUM(B239:F239)</f>
        <v>102074000</v>
      </c>
      <c r="H239" s="4">
        <f>71314500+18188500</f>
        <v>89503000</v>
      </c>
      <c r="I239" s="4">
        <v>198593000</v>
      </c>
      <c r="J239" s="27">
        <f>G239/I239</f>
        <v>0.51398589074136547</v>
      </c>
      <c r="K239" s="29">
        <f>H239/I239</f>
        <v>0.45068557300609791</v>
      </c>
      <c r="L239" s="6">
        <v>750</v>
      </c>
      <c r="M239" s="7">
        <v>0.76900000000000002</v>
      </c>
      <c r="N239" s="10">
        <v>21.1</v>
      </c>
      <c r="O239" s="6">
        <v>86</v>
      </c>
      <c r="P239" s="10">
        <v>4.24</v>
      </c>
      <c r="Q239" s="6">
        <v>101</v>
      </c>
      <c r="R239" s="10">
        <v>4.16</v>
      </c>
      <c r="S239" s="6">
        <v>97</v>
      </c>
      <c r="T239" s="5">
        <f t="shared" si="3"/>
        <v>0.53086419753086422</v>
      </c>
    </row>
    <row r="240" spans="1:20" x14ac:dyDescent="0.2">
      <c r="A240" s="26">
        <v>2015</v>
      </c>
      <c r="B240" s="3" t="s">
        <v>4</v>
      </c>
      <c r="C240" s="4">
        <v>6148770</v>
      </c>
      <c r="D240" s="4">
        <v>40954650</v>
      </c>
      <c r="E240" s="4">
        <v>5341105</v>
      </c>
      <c r="F240" s="4">
        <v>17000000</v>
      </c>
      <c r="G240" s="4">
        <f>SUM(B240:F240)</f>
        <v>69444525</v>
      </c>
      <c r="H240" s="4">
        <v>40434811</v>
      </c>
      <c r="I240" s="4">
        <v>162160921</v>
      </c>
      <c r="J240" s="27">
        <f>G240/I240</f>
        <v>0.42824451521214535</v>
      </c>
      <c r="K240" s="29">
        <f>H240/I240</f>
        <v>0.2493499096493168</v>
      </c>
      <c r="L240" s="6">
        <v>689</v>
      </c>
      <c r="M240" s="7">
        <v>0.748</v>
      </c>
      <c r="N240" s="10">
        <v>17.100000000000001</v>
      </c>
      <c r="O240" s="6">
        <v>74</v>
      </c>
      <c r="P240" s="10">
        <v>4.6399999999999997</v>
      </c>
      <c r="Q240" s="6">
        <v>114</v>
      </c>
      <c r="R240" s="10">
        <v>4.46</v>
      </c>
      <c r="S240" s="6">
        <v>109</v>
      </c>
      <c r="T240" s="5">
        <f t="shared" si="3"/>
        <v>0.4567901234567901</v>
      </c>
    </row>
    <row r="241" spans="1:20" x14ac:dyDescent="0.2">
      <c r="A241" s="26">
        <v>2014</v>
      </c>
      <c r="B241" s="3" t="s">
        <v>4</v>
      </c>
      <c r="C241" s="4">
        <v>4731234</v>
      </c>
      <c r="D241" s="4">
        <v>40970939</v>
      </c>
      <c r="E241" s="4">
        <v>21993851</v>
      </c>
      <c r="F241" s="4">
        <v>12500000</v>
      </c>
      <c r="G241" s="4">
        <f>SUM(B241:F241)</f>
        <v>80196024</v>
      </c>
      <c r="H241" s="4">
        <v>66813945</v>
      </c>
      <c r="I241" s="4">
        <v>171996220</v>
      </c>
      <c r="J241" s="27">
        <f>G241/I241</f>
        <v>0.46626620050138312</v>
      </c>
      <c r="K241" s="29">
        <f>H241/I241</f>
        <v>0.388461705728184</v>
      </c>
      <c r="L241" s="6">
        <v>757</v>
      </c>
      <c r="M241" s="7">
        <v>0.75700000000000001</v>
      </c>
      <c r="N241" s="10">
        <v>24.8</v>
      </c>
      <c r="O241" s="6">
        <v>90</v>
      </c>
      <c r="P241" s="10">
        <v>4.01</v>
      </c>
      <c r="Q241" s="6">
        <v>104</v>
      </c>
      <c r="R241" s="10">
        <v>3.6</v>
      </c>
      <c r="S241" s="6">
        <v>94</v>
      </c>
      <c r="T241" s="5">
        <f t="shared" si="3"/>
        <v>0.55555555555555558</v>
      </c>
    </row>
    <row r="242" spans="1:20" x14ac:dyDescent="0.2">
      <c r="A242" s="26">
        <v>2013</v>
      </c>
      <c r="B242" s="3" t="s">
        <v>4</v>
      </c>
      <c r="C242" s="4">
        <v>3980300</v>
      </c>
      <c r="D242" s="4">
        <v>33451227</v>
      </c>
      <c r="E242" s="4">
        <v>17596010</v>
      </c>
      <c r="F242" s="4">
        <v>36050000</v>
      </c>
      <c r="G242" s="4">
        <f>SUM(B242:F242)</f>
        <v>91077537</v>
      </c>
      <c r="H242" s="4">
        <v>54346330</v>
      </c>
      <c r="I242" s="4">
        <v>155223539</v>
      </c>
      <c r="J242" s="27">
        <f>G242/I242</f>
        <v>0.58675080845824545</v>
      </c>
      <c r="K242" s="29">
        <f>H242/I242</f>
        <v>0.35011655029975836</v>
      </c>
      <c r="L242" s="6">
        <v>796</v>
      </c>
      <c r="M242" s="7">
        <v>0.78</v>
      </c>
      <c r="N242" s="10">
        <v>27.6</v>
      </c>
      <c r="O242" s="6">
        <v>93</v>
      </c>
      <c r="P242" s="10">
        <v>3.61</v>
      </c>
      <c r="Q242" s="6">
        <v>89</v>
      </c>
      <c r="R242" s="10">
        <v>3.27</v>
      </c>
      <c r="S242" s="6">
        <v>82</v>
      </c>
      <c r="T242" s="5">
        <f t="shared" si="3"/>
        <v>0.57407407407407407</v>
      </c>
    </row>
    <row r="243" spans="1:20" x14ac:dyDescent="0.2">
      <c r="A243" s="26">
        <v>2012</v>
      </c>
      <c r="B243" s="3" t="s">
        <v>4</v>
      </c>
      <c r="C243" s="4">
        <v>1510000</v>
      </c>
      <c r="D243" s="4">
        <v>31224076</v>
      </c>
      <c r="E243" s="4">
        <v>12677500</v>
      </c>
      <c r="F243" s="4">
        <v>36150000</v>
      </c>
      <c r="G243" s="4">
        <f>SUM(B243:F243)</f>
        <v>81561576</v>
      </c>
      <c r="H243" s="4">
        <v>57200708</v>
      </c>
      <c r="I243" s="4">
        <v>144262284</v>
      </c>
      <c r="J243" s="27">
        <f>G243/I243</f>
        <v>0.56537005888524539</v>
      </c>
      <c r="K243" s="29">
        <f>H243/I243</f>
        <v>0.39650493818606114</v>
      </c>
      <c r="L243" s="6">
        <v>726</v>
      </c>
      <c r="M243" s="7">
        <v>0.75700000000000001</v>
      </c>
      <c r="N243" s="10">
        <v>20.5</v>
      </c>
      <c r="O243" s="6">
        <v>88</v>
      </c>
      <c r="P243" s="10">
        <v>3.77</v>
      </c>
      <c r="Q243" s="6">
        <v>90</v>
      </c>
      <c r="R243" s="10">
        <v>3.63</v>
      </c>
      <c r="S243" s="6">
        <v>87</v>
      </c>
      <c r="T243" s="5">
        <f t="shared" si="3"/>
        <v>0.54320987654320985</v>
      </c>
    </row>
    <row r="244" spans="1:20" x14ac:dyDescent="0.2">
      <c r="A244" s="26">
        <v>2011</v>
      </c>
      <c r="B244" s="3" t="s">
        <v>4</v>
      </c>
      <c r="C244" s="4">
        <v>425000</v>
      </c>
      <c r="D244" s="4">
        <v>46347000</v>
      </c>
      <c r="E244" s="4">
        <v>14299349</v>
      </c>
      <c r="F244" s="4">
        <v>12000000</v>
      </c>
      <c r="G244" s="4">
        <f>SUM(B244:F244)</f>
        <v>73071349</v>
      </c>
      <c r="H244" s="4">
        <v>38199666</v>
      </c>
      <c r="I244" s="4">
        <v>111521015</v>
      </c>
      <c r="J244" s="27">
        <f>G244/I244</f>
        <v>0.65522492778603203</v>
      </c>
      <c r="K244" s="29">
        <f>H244/I244</f>
        <v>0.34253334225840754</v>
      </c>
      <c r="L244" s="6">
        <v>787</v>
      </c>
      <c r="M244" s="7">
        <v>0.77300000000000002</v>
      </c>
      <c r="N244" s="10">
        <v>23.1</v>
      </c>
      <c r="O244" s="6">
        <v>95</v>
      </c>
      <c r="P244" s="10">
        <v>4.04</v>
      </c>
      <c r="Q244" s="6">
        <v>97</v>
      </c>
      <c r="R244" s="10">
        <v>3.96</v>
      </c>
      <c r="S244" s="6">
        <v>97</v>
      </c>
      <c r="T244" s="5">
        <f t="shared" si="3"/>
        <v>0.5864197530864198</v>
      </c>
    </row>
    <row r="245" spans="1:20" x14ac:dyDescent="0.2">
      <c r="A245" s="26">
        <v>2019</v>
      </c>
      <c r="B245" s="3" t="s">
        <v>18</v>
      </c>
      <c r="C245" s="4">
        <v>9101925</v>
      </c>
      <c r="D245" s="4">
        <v>32994397</v>
      </c>
      <c r="E245" s="4">
        <v>11001838</v>
      </c>
      <c r="F245" s="4">
        <v>14000000</v>
      </c>
      <c r="G245" s="4">
        <f>SUM(B245:F245)</f>
        <v>67098160</v>
      </c>
      <c r="H245" s="4">
        <v>28961435</v>
      </c>
      <c r="I245" s="4">
        <v>125256003</v>
      </c>
      <c r="J245" s="27">
        <f>G245/I245</f>
        <v>0.53568817775544064</v>
      </c>
      <c r="K245" s="28">
        <f>H245/I245</f>
        <v>0.23121794010942534</v>
      </c>
      <c r="L245" s="8">
        <v>939</v>
      </c>
      <c r="M245" s="9">
        <v>0.83199999999999996</v>
      </c>
      <c r="N245" s="14">
        <v>31</v>
      </c>
      <c r="O245" s="8">
        <v>101</v>
      </c>
      <c r="P245" s="14">
        <v>4.18</v>
      </c>
      <c r="Q245" s="8">
        <v>90</v>
      </c>
      <c r="R245" s="14">
        <v>4.03</v>
      </c>
      <c r="S245" s="8">
        <v>87</v>
      </c>
      <c r="T245" s="5">
        <f t="shared" si="3"/>
        <v>0.62345679012345678</v>
      </c>
    </row>
    <row r="246" spans="1:20" x14ac:dyDescent="0.2">
      <c r="A246" s="26">
        <v>2018</v>
      </c>
      <c r="B246" s="3" t="s">
        <v>18</v>
      </c>
      <c r="C246" s="4">
        <v>840500</v>
      </c>
      <c r="D246" s="4">
        <v>28224363</v>
      </c>
      <c r="E246" s="4">
        <v>1632430</v>
      </c>
      <c r="F246" s="4">
        <v>2000000</v>
      </c>
      <c r="G246" s="4">
        <f>SUM(B246:F246)</f>
        <v>32697293</v>
      </c>
      <c r="H246" s="4">
        <v>23557080</v>
      </c>
      <c r="I246" s="4">
        <v>115509520</v>
      </c>
      <c r="J246" s="27">
        <f>G246/I246</f>
        <v>0.28307011404774257</v>
      </c>
      <c r="K246" s="28">
        <f>H246/I246</f>
        <v>0.20394059294852926</v>
      </c>
      <c r="L246" s="8">
        <v>738</v>
      </c>
      <c r="M246" s="9">
        <v>0.72299999999999998</v>
      </c>
      <c r="N246" s="14">
        <v>16</v>
      </c>
      <c r="O246" s="8">
        <v>78</v>
      </c>
      <c r="P246" s="14">
        <v>4.5</v>
      </c>
      <c r="Q246" s="8">
        <v>104</v>
      </c>
      <c r="R246" s="14">
        <v>4.3899999999999997</v>
      </c>
      <c r="S246" s="8">
        <v>103</v>
      </c>
      <c r="T246" s="5">
        <f t="shared" si="3"/>
        <v>0.48148148148148145</v>
      </c>
    </row>
    <row r="247" spans="1:20" x14ac:dyDescent="0.2">
      <c r="A247" s="26">
        <v>2017</v>
      </c>
      <c r="B247" s="3" t="s">
        <v>18</v>
      </c>
      <c r="C247" s="4">
        <v>9581535</v>
      </c>
      <c r="D247" s="4">
        <v>33673914</v>
      </c>
      <c r="E247" s="4">
        <v>2473954</v>
      </c>
      <c r="F247" s="4">
        <v>0</v>
      </c>
      <c r="G247" s="4">
        <f>SUM(B247:F247)</f>
        <v>45729403</v>
      </c>
      <c r="H247" s="4">
        <v>29887046</v>
      </c>
      <c r="I247" s="4">
        <v>121048871</v>
      </c>
      <c r="J247" s="27">
        <f>G247/I247</f>
        <v>0.37777636934755054</v>
      </c>
      <c r="K247" s="28">
        <f>H247/I247</f>
        <v>0.24690065882564077</v>
      </c>
      <c r="L247" s="8">
        <v>815</v>
      </c>
      <c r="M247" s="9">
        <v>0.76800000000000002</v>
      </c>
      <c r="N247" s="14">
        <v>26</v>
      </c>
      <c r="O247" s="8">
        <v>85</v>
      </c>
      <c r="P247" s="14">
        <v>4.5999999999999996</v>
      </c>
      <c r="Q247" s="8">
        <v>104</v>
      </c>
      <c r="R247" s="14">
        <v>4.71</v>
      </c>
      <c r="S247" s="8">
        <v>107</v>
      </c>
      <c r="T247" s="5">
        <f t="shared" si="3"/>
        <v>0.52469135802469136</v>
      </c>
    </row>
    <row r="248" spans="1:20" x14ac:dyDescent="0.2">
      <c r="A248" s="26">
        <v>2016</v>
      </c>
      <c r="B248" s="3" t="s">
        <v>18</v>
      </c>
      <c r="C248" s="4">
        <f>6000000+528700</f>
        <v>6528700</v>
      </c>
      <c r="D248" s="4">
        <f>23000000+3000000+7250000+547500+2150000+1475000</f>
        <v>37422500</v>
      </c>
      <c r="E248" s="4">
        <f>537500+512500+542500+535000</f>
        <v>2127500</v>
      </c>
      <c r="F248" s="4">
        <f>2750000</f>
        <v>2750000</v>
      </c>
      <c r="G248" s="4">
        <f>SUM(B248:F248)</f>
        <v>48828700</v>
      </c>
      <c r="H248" s="4">
        <f>39787500+16717500</f>
        <v>56505000</v>
      </c>
      <c r="I248" s="4">
        <v>105333700</v>
      </c>
      <c r="J248" s="27">
        <f>G248/I248</f>
        <v>0.46356199392976799</v>
      </c>
      <c r="K248" s="29">
        <f>H248/I248</f>
        <v>0.53643800607023207</v>
      </c>
      <c r="L248" s="6">
        <v>722</v>
      </c>
      <c r="M248" s="7">
        <v>0.73799999999999999</v>
      </c>
      <c r="N248" s="10">
        <v>12.4</v>
      </c>
      <c r="O248" s="6">
        <v>59</v>
      </c>
      <c r="P248" s="10">
        <v>5.09</v>
      </c>
      <c r="Q248" s="6">
        <v>118</v>
      </c>
      <c r="R248" s="10">
        <v>4.57</v>
      </c>
      <c r="S248" s="6">
        <v>106</v>
      </c>
      <c r="T248" s="5">
        <f t="shared" si="3"/>
        <v>0.36419753086419754</v>
      </c>
    </row>
    <row r="249" spans="1:20" x14ac:dyDescent="0.2">
      <c r="A249" s="26">
        <v>2015</v>
      </c>
      <c r="B249" s="3" t="s">
        <v>18</v>
      </c>
      <c r="C249" s="4">
        <v>6515108</v>
      </c>
      <c r="D249" s="4">
        <v>31934398</v>
      </c>
      <c r="E249" s="4">
        <v>12338618</v>
      </c>
      <c r="F249" s="4">
        <v>0</v>
      </c>
      <c r="G249" s="4">
        <f>SUM(B249:F249)</f>
        <v>50788124</v>
      </c>
      <c r="H249" s="4">
        <v>50660023</v>
      </c>
      <c r="I249" s="4">
        <v>107981818</v>
      </c>
      <c r="J249" s="27">
        <f>G249/I249</f>
        <v>0.47033958994837444</v>
      </c>
      <c r="K249" s="29">
        <f>H249/I249</f>
        <v>0.46915326985882011</v>
      </c>
      <c r="L249" s="6">
        <v>696</v>
      </c>
      <c r="M249" s="7">
        <v>0.70399999999999996</v>
      </c>
      <c r="N249" s="10">
        <v>12.1</v>
      </c>
      <c r="O249" s="6">
        <v>83</v>
      </c>
      <c r="P249" s="10">
        <v>4.07</v>
      </c>
      <c r="Q249" s="6">
        <v>99</v>
      </c>
      <c r="R249" s="10">
        <v>4.0999999999999996</v>
      </c>
      <c r="S249" s="6">
        <v>100</v>
      </c>
      <c r="T249" s="5">
        <f t="shared" si="3"/>
        <v>0.51234567901234573</v>
      </c>
    </row>
    <row r="250" spans="1:20" x14ac:dyDescent="0.2">
      <c r="A250" s="26">
        <v>2014</v>
      </c>
      <c r="B250" s="3" t="s">
        <v>18</v>
      </c>
      <c r="C250" s="4">
        <v>4095818</v>
      </c>
      <c r="D250" s="4">
        <v>27681954</v>
      </c>
      <c r="E250" s="4">
        <v>1513919</v>
      </c>
      <c r="F250" s="4">
        <v>0</v>
      </c>
      <c r="G250" s="4">
        <f>SUM(B250:F250)</f>
        <v>33291691</v>
      </c>
      <c r="H250" s="4">
        <v>38848757</v>
      </c>
      <c r="I250" s="4">
        <v>87494478</v>
      </c>
      <c r="J250" s="27">
        <f>G250/I250</f>
        <v>0.38050048141323844</v>
      </c>
      <c r="K250" s="29">
        <f>H250/I250</f>
        <v>0.44401381536329643</v>
      </c>
      <c r="L250" s="6">
        <v>715</v>
      </c>
      <c r="M250" s="7">
        <v>0.71299999999999997</v>
      </c>
      <c r="N250" s="10">
        <v>16.2</v>
      </c>
      <c r="O250" s="6">
        <v>70</v>
      </c>
      <c r="P250" s="10">
        <v>4.58</v>
      </c>
      <c r="Q250" s="6">
        <v>118</v>
      </c>
      <c r="R250" s="10">
        <v>3.97</v>
      </c>
      <c r="S250" s="6">
        <v>104</v>
      </c>
      <c r="T250" s="5">
        <f t="shared" si="3"/>
        <v>0.43209876543209874</v>
      </c>
    </row>
    <row r="251" spans="1:20" x14ac:dyDescent="0.2">
      <c r="A251" s="26">
        <v>2013</v>
      </c>
      <c r="B251" s="3" t="s">
        <v>18</v>
      </c>
      <c r="C251" s="4">
        <v>3896283</v>
      </c>
      <c r="D251" s="4">
        <v>25610149</v>
      </c>
      <c r="E251" s="4">
        <v>8167430</v>
      </c>
      <c r="F251" s="4">
        <v>0</v>
      </c>
      <c r="G251" s="4">
        <f>SUM(B251:F251)</f>
        <v>37673862</v>
      </c>
      <c r="H251" s="4">
        <v>19269083</v>
      </c>
      <c r="I251" s="4">
        <v>81458898</v>
      </c>
      <c r="J251" s="27">
        <f>G251/I251</f>
        <v>0.4624892175683496</v>
      </c>
      <c r="K251" s="29">
        <f>H251/I251</f>
        <v>0.23654976280184886</v>
      </c>
      <c r="L251" s="6">
        <v>614</v>
      </c>
      <c r="M251" s="7">
        <v>0.69199999999999995</v>
      </c>
      <c r="N251" s="10">
        <v>10.8</v>
      </c>
      <c r="O251" s="6">
        <v>66</v>
      </c>
      <c r="P251" s="10">
        <v>4.55</v>
      </c>
      <c r="Q251" s="6">
        <v>113</v>
      </c>
      <c r="R251" s="10">
        <v>4.2300000000000004</v>
      </c>
      <c r="S251" s="6">
        <v>107</v>
      </c>
      <c r="T251" s="5">
        <f t="shared" si="3"/>
        <v>0.40740740740740738</v>
      </c>
    </row>
    <row r="252" spans="1:20" x14ac:dyDescent="0.2">
      <c r="A252" s="26">
        <v>2012</v>
      </c>
      <c r="B252" s="3" t="s">
        <v>18</v>
      </c>
      <c r="C252" s="4">
        <v>4440000</v>
      </c>
      <c r="D252" s="4">
        <v>47677827</v>
      </c>
      <c r="E252" s="4">
        <v>12892500</v>
      </c>
      <c r="F252" s="4">
        <v>0</v>
      </c>
      <c r="G252" s="4">
        <f>SUM(B252:F252)</f>
        <v>65010327</v>
      </c>
      <c r="H252" s="4">
        <v>44120000</v>
      </c>
      <c r="I252" s="4">
        <v>109130327</v>
      </c>
      <c r="J252" s="27">
        <f>G252/I252</f>
        <v>0.59571274811629582</v>
      </c>
      <c r="K252" s="29">
        <f>H252/I252</f>
        <v>0.40428725188370412</v>
      </c>
      <c r="L252" s="6">
        <v>701</v>
      </c>
      <c r="M252" s="7">
        <v>0.71499999999999997</v>
      </c>
      <c r="N252" s="10">
        <v>12.6</v>
      </c>
      <c r="O252" s="6">
        <v>66</v>
      </c>
      <c r="P252" s="10">
        <v>4.7699999999999996</v>
      </c>
      <c r="Q252" s="6">
        <v>116</v>
      </c>
      <c r="R252" s="10">
        <v>4.66</v>
      </c>
      <c r="S252" s="6">
        <v>114</v>
      </c>
      <c r="T252" s="5">
        <f t="shared" si="3"/>
        <v>0.40740740740740738</v>
      </c>
    </row>
    <row r="253" spans="1:20" x14ac:dyDescent="0.2">
      <c r="A253" s="26">
        <v>2011</v>
      </c>
      <c r="B253" s="3" t="s">
        <v>18</v>
      </c>
      <c r="C253" s="4">
        <v>429000</v>
      </c>
      <c r="D253" s="4">
        <v>43555500</v>
      </c>
      <c r="E253" s="4">
        <v>17789000</v>
      </c>
      <c r="F253" s="4">
        <v>0</v>
      </c>
      <c r="G253" s="4">
        <f>SUM(B253:F253)</f>
        <v>61773500</v>
      </c>
      <c r="H253" s="4">
        <v>45097500</v>
      </c>
      <c r="I253" s="4">
        <v>113979594</v>
      </c>
      <c r="J253" s="27">
        <f>G253/I253</f>
        <v>0.54196981961525503</v>
      </c>
      <c r="K253" s="29">
        <f>H253/I253</f>
        <v>0.39566292892743593</v>
      </c>
      <c r="L253" s="6">
        <v>619</v>
      </c>
      <c r="M253" s="7">
        <v>0.66600000000000004</v>
      </c>
      <c r="N253" s="10">
        <v>4.3</v>
      </c>
      <c r="O253" s="6">
        <v>63</v>
      </c>
      <c r="P253" s="10">
        <v>4.5999999999999996</v>
      </c>
      <c r="Q253" s="6">
        <v>112</v>
      </c>
      <c r="R253" s="10">
        <v>4.3</v>
      </c>
      <c r="S253" s="6">
        <v>108</v>
      </c>
      <c r="T253" s="5">
        <f t="shared" si="3"/>
        <v>0.3888888888888889</v>
      </c>
    </row>
    <row r="254" spans="1:20" x14ac:dyDescent="0.2">
      <c r="A254" s="26">
        <v>2019</v>
      </c>
      <c r="B254" s="3" t="s">
        <v>25</v>
      </c>
      <c r="C254" s="4">
        <v>9914120</v>
      </c>
      <c r="D254" s="4">
        <v>7249774</v>
      </c>
      <c r="E254" s="4">
        <v>4393269</v>
      </c>
      <c r="F254" s="4">
        <v>16015000</v>
      </c>
      <c r="G254" s="4">
        <f>SUM(B254:F254)</f>
        <v>37572163</v>
      </c>
      <c r="H254" s="4">
        <v>29758268</v>
      </c>
      <c r="I254" s="4">
        <v>91371201</v>
      </c>
      <c r="J254" s="27">
        <f>G254/I254</f>
        <v>0.41120355854794993</v>
      </c>
      <c r="K254" s="28">
        <f>H254/I254</f>
        <v>0.32568542028904707</v>
      </c>
      <c r="L254" s="8">
        <v>708</v>
      </c>
      <c r="M254" s="9">
        <v>0.72799999999999998</v>
      </c>
      <c r="N254" s="14">
        <v>11</v>
      </c>
      <c r="O254" s="8">
        <v>72</v>
      </c>
      <c r="P254" s="14">
        <v>4.91</v>
      </c>
      <c r="Q254" s="8">
        <v>109</v>
      </c>
      <c r="R254" s="14">
        <v>4.8899999999999997</v>
      </c>
      <c r="S254" s="8">
        <v>105</v>
      </c>
      <c r="T254" s="5">
        <f t="shared" si="3"/>
        <v>0.44444444444444442</v>
      </c>
    </row>
    <row r="255" spans="1:20" x14ac:dyDescent="0.2">
      <c r="A255" s="26">
        <v>2018</v>
      </c>
      <c r="B255" s="3" t="s">
        <v>25</v>
      </c>
      <c r="C255" s="4">
        <v>8155740</v>
      </c>
      <c r="D255" s="4">
        <v>17142330</v>
      </c>
      <c r="E255" s="4">
        <v>9730392</v>
      </c>
      <c r="F255" s="4">
        <v>570000</v>
      </c>
      <c r="G255" s="4">
        <f>SUM(B255:F255)</f>
        <v>35598462</v>
      </c>
      <c r="H255" s="4">
        <v>21663080</v>
      </c>
      <c r="I255" s="4">
        <v>71839808</v>
      </c>
      <c r="J255" s="27">
        <f>G255/I255</f>
        <v>0.49552557267413633</v>
      </c>
      <c r="K255" s="28">
        <f>H255/I255</f>
        <v>0.30154701972477432</v>
      </c>
      <c r="L255" s="8">
        <v>656</v>
      </c>
      <c r="M255" s="9">
        <v>0.70299999999999996</v>
      </c>
      <c r="N255" s="14">
        <v>8.8000000000000007</v>
      </c>
      <c r="O255" s="8">
        <v>62</v>
      </c>
      <c r="P255" s="14">
        <v>4.8499999999999996</v>
      </c>
      <c r="Q255" s="8">
        <v>116</v>
      </c>
      <c r="R255" s="14">
        <v>4.7300000000000004</v>
      </c>
      <c r="S255" s="8">
        <v>110</v>
      </c>
      <c r="T255" s="5">
        <f t="shared" si="3"/>
        <v>0.38271604938271603</v>
      </c>
    </row>
    <row r="256" spans="1:20" x14ac:dyDescent="0.2">
      <c r="A256" s="26">
        <v>2017</v>
      </c>
      <c r="B256" s="3" t="s">
        <v>25</v>
      </c>
      <c r="C256" s="4">
        <v>1098293</v>
      </c>
      <c r="D256" s="4">
        <v>12987225</v>
      </c>
      <c r="E256" s="4">
        <v>4354637</v>
      </c>
      <c r="F256" s="4">
        <v>537000</v>
      </c>
      <c r="G256" s="4">
        <f>SUM(B256:F256)</f>
        <v>18977155</v>
      </c>
      <c r="H256" s="4">
        <v>13563228</v>
      </c>
      <c r="I256" s="4">
        <v>86382688</v>
      </c>
      <c r="J256" s="27">
        <f>G256/I256</f>
        <v>0.21968701645403765</v>
      </c>
      <c r="K256" s="28">
        <f>H256/I256</f>
        <v>0.15701326636188956</v>
      </c>
      <c r="L256" s="8">
        <v>706</v>
      </c>
      <c r="M256" s="9">
        <v>0.73099999999999998</v>
      </c>
      <c r="N256" s="14">
        <v>14.1</v>
      </c>
      <c r="O256" s="8">
        <v>67</v>
      </c>
      <c r="P256" s="14">
        <v>4.78</v>
      </c>
      <c r="Q256" s="8">
        <v>112</v>
      </c>
      <c r="R256" s="14">
        <v>5.17</v>
      </c>
      <c r="S256" s="8">
        <v>116</v>
      </c>
      <c r="T256" s="5">
        <f t="shared" si="3"/>
        <v>0.41358024691358025</v>
      </c>
    </row>
    <row r="257" spans="1:20" x14ac:dyDescent="0.2">
      <c r="A257" s="26">
        <v>2016</v>
      </c>
      <c r="B257" s="3" t="s">
        <v>25</v>
      </c>
      <c r="C257" s="4">
        <f>4000000+2500000</f>
        <v>6500000</v>
      </c>
      <c r="D257" s="4">
        <f>11666667+4125000+513000+8250000+2000000</f>
        <v>26554667</v>
      </c>
      <c r="E257" s="4">
        <f>5000000+521000+14000000+2750000</f>
        <v>22271000</v>
      </c>
      <c r="F257" s="4">
        <f>2100000+535000</f>
        <v>2635000</v>
      </c>
      <c r="G257" s="4">
        <f>SUM(B257:F257)</f>
        <v>57960667</v>
      </c>
      <c r="H257" s="4">
        <f>33818000+22720000</f>
        <v>56538000</v>
      </c>
      <c r="I257" s="4">
        <v>114498667</v>
      </c>
      <c r="J257" s="27">
        <f>G257/I257</f>
        <v>0.50621259197716251</v>
      </c>
      <c r="K257" s="29">
        <f>H257/I257</f>
        <v>0.49378740802283749</v>
      </c>
      <c r="L257" s="6">
        <v>686</v>
      </c>
      <c r="M257" s="7">
        <v>0.72699999999999998</v>
      </c>
      <c r="N257" s="10">
        <v>15</v>
      </c>
      <c r="O257" s="6">
        <v>78</v>
      </c>
      <c r="P257" s="10">
        <v>4.12</v>
      </c>
      <c r="Q257" s="6">
        <v>99</v>
      </c>
      <c r="R257" s="10">
        <v>4.2699999999999996</v>
      </c>
      <c r="S257" s="6">
        <v>100</v>
      </c>
      <c r="T257" s="5">
        <f t="shared" si="3"/>
        <v>0.48148148148148145</v>
      </c>
    </row>
    <row r="258" spans="1:20" x14ac:dyDescent="0.2">
      <c r="A258" s="26">
        <v>2015</v>
      </c>
      <c r="B258" s="3" t="s">
        <v>25</v>
      </c>
      <c r="C258" s="4">
        <v>4175000</v>
      </c>
      <c r="D258" s="4">
        <v>21405530</v>
      </c>
      <c r="E258" s="4">
        <v>2382632</v>
      </c>
      <c r="F258" s="4">
        <v>12000000</v>
      </c>
      <c r="G258" s="4">
        <f>SUM(B258:F258)</f>
        <v>39963162</v>
      </c>
      <c r="H258" s="4">
        <v>54402573</v>
      </c>
      <c r="I258" s="4">
        <v>118875487</v>
      </c>
      <c r="J258" s="27">
        <f>G258/I258</f>
        <v>0.33617664169905775</v>
      </c>
      <c r="K258" s="29">
        <f>H258/I258</f>
        <v>0.45764332389233453</v>
      </c>
      <c r="L258" s="6">
        <v>622</v>
      </c>
      <c r="M258" s="7">
        <v>0.68600000000000005</v>
      </c>
      <c r="N258" s="10">
        <v>8.8000000000000007</v>
      </c>
      <c r="O258" s="6">
        <v>76</v>
      </c>
      <c r="P258" s="10">
        <v>3.98</v>
      </c>
      <c r="Q258" s="6">
        <v>100</v>
      </c>
      <c r="R258" s="10">
        <v>3.82</v>
      </c>
      <c r="S258" s="6">
        <v>93</v>
      </c>
      <c r="T258" s="5">
        <f t="shared" si="3"/>
        <v>0.46913580246913578</v>
      </c>
    </row>
    <row r="259" spans="1:20" x14ac:dyDescent="0.2">
      <c r="A259" s="26">
        <v>2014</v>
      </c>
      <c r="B259" s="3" t="s">
        <v>25</v>
      </c>
      <c r="C259" s="4">
        <v>1523770</v>
      </c>
      <c r="D259" s="4">
        <v>21705933</v>
      </c>
      <c r="E259" s="4">
        <v>5300903</v>
      </c>
      <c r="F259" s="4">
        <v>0</v>
      </c>
      <c r="G259" s="4">
        <f>SUM(B259:F259)</f>
        <v>28530606</v>
      </c>
      <c r="H259" s="4">
        <v>31775291</v>
      </c>
      <c r="I259" s="4">
        <v>89221236</v>
      </c>
      <c r="J259" s="27">
        <f>G259/I259</f>
        <v>0.31977371396199894</v>
      </c>
      <c r="K259" s="29">
        <f>H259/I259</f>
        <v>0.35614044844660075</v>
      </c>
      <c r="L259" s="6">
        <v>660</v>
      </c>
      <c r="M259" s="7">
        <v>0.70799999999999996</v>
      </c>
      <c r="N259" s="10">
        <v>13.3</v>
      </c>
      <c r="O259" s="6">
        <v>73</v>
      </c>
      <c r="P259" s="10">
        <v>4.3</v>
      </c>
      <c r="Q259" s="6">
        <v>112</v>
      </c>
      <c r="R259" s="10">
        <v>4.0999999999999996</v>
      </c>
      <c r="S259" s="6">
        <v>105</v>
      </c>
      <c r="T259" s="5">
        <f t="shared" ref="T259:T271" si="4">O259/162</f>
        <v>0.45061728395061729</v>
      </c>
    </row>
    <row r="260" spans="1:20" x14ac:dyDescent="0.2">
      <c r="A260" s="26">
        <v>2013</v>
      </c>
      <c r="B260" s="3" t="s">
        <v>25</v>
      </c>
      <c r="C260" s="4">
        <v>1648299</v>
      </c>
      <c r="D260" s="4">
        <v>27490472</v>
      </c>
      <c r="E260" s="4">
        <v>6134616</v>
      </c>
      <c r="F260" s="4">
        <v>15000000</v>
      </c>
      <c r="G260" s="4">
        <f>SUM(B260:F260)</f>
        <v>50273387</v>
      </c>
      <c r="H260" s="4">
        <v>32656152</v>
      </c>
      <c r="I260" s="4">
        <v>111777595</v>
      </c>
      <c r="J260" s="27">
        <f>G260/I260</f>
        <v>0.44976264697768814</v>
      </c>
      <c r="K260" s="29">
        <f>H260/I260</f>
        <v>0.2921529310055383</v>
      </c>
      <c r="L260" s="6">
        <v>598</v>
      </c>
      <c r="M260" s="7">
        <v>0.68</v>
      </c>
      <c r="N260" s="10">
        <v>5.5</v>
      </c>
      <c r="O260" s="6">
        <v>63</v>
      </c>
      <c r="P260" s="10">
        <v>4</v>
      </c>
      <c r="Q260" s="6">
        <v>98</v>
      </c>
      <c r="R260" s="10">
        <v>4.13</v>
      </c>
      <c r="S260" s="6">
        <v>101</v>
      </c>
      <c r="T260" s="5">
        <f t="shared" si="4"/>
        <v>0.3888888888888889</v>
      </c>
    </row>
    <row r="261" spans="1:20" x14ac:dyDescent="0.2">
      <c r="A261" s="26">
        <v>2012</v>
      </c>
      <c r="B261" s="3" t="s">
        <v>25</v>
      </c>
      <c r="C261" s="4">
        <v>6483000</v>
      </c>
      <c r="D261" s="4">
        <v>19832622</v>
      </c>
      <c r="E261" s="4">
        <v>17288770</v>
      </c>
      <c r="F261" s="4">
        <v>14000000</v>
      </c>
      <c r="G261" s="4">
        <f>SUM(B261:F261)</f>
        <v>57604392</v>
      </c>
      <c r="H261" s="4">
        <v>50646500</v>
      </c>
      <c r="I261" s="4">
        <v>108972203</v>
      </c>
      <c r="J261" s="27">
        <f>G261/I261</f>
        <v>0.52861546719395958</v>
      </c>
      <c r="K261" s="29">
        <f>H261/I261</f>
        <v>0.4647653126733613</v>
      </c>
      <c r="L261" s="6">
        <v>748</v>
      </c>
      <c r="M261" s="7">
        <v>0.74</v>
      </c>
      <c r="N261" s="10">
        <v>20.7</v>
      </c>
      <c r="O261" s="6">
        <v>85</v>
      </c>
      <c r="P261" s="10">
        <v>4.0199999999999996</v>
      </c>
      <c r="Q261" s="6">
        <v>95</v>
      </c>
      <c r="R261" s="10">
        <v>4.2300000000000004</v>
      </c>
      <c r="S261" s="6">
        <v>98</v>
      </c>
      <c r="T261" s="5">
        <f t="shared" si="4"/>
        <v>0.52469135802469136</v>
      </c>
    </row>
    <row r="262" spans="1:20" x14ac:dyDescent="0.2">
      <c r="A262" s="26">
        <v>2011</v>
      </c>
      <c r="B262" s="3" t="s">
        <v>25</v>
      </c>
      <c r="C262" s="4">
        <v>3713540</v>
      </c>
      <c r="D262" s="4">
        <v>17967409</v>
      </c>
      <c r="E262" s="4">
        <v>25671322</v>
      </c>
      <c r="F262" s="4">
        <v>12000000</v>
      </c>
      <c r="G262" s="4">
        <f>SUM(B262:F262)</f>
        <v>59352271</v>
      </c>
      <c r="H262" s="4">
        <v>55482680</v>
      </c>
      <c r="I262" s="4">
        <v>127615953</v>
      </c>
      <c r="J262" s="27">
        <f>G262/I262</f>
        <v>0.46508504309018484</v>
      </c>
      <c r="K262" s="29">
        <f>H262/I262</f>
        <v>0.43476288579688777</v>
      </c>
      <c r="L262" s="6">
        <v>654</v>
      </c>
      <c r="M262" s="7">
        <v>0.70599999999999996</v>
      </c>
      <c r="N262" s="10">
        <v>11.7</v>
      </c>
      <c r="O262" s="6">
        <v>79</v>
      </c>
      <c r="P262" s="10">
        <v>4.0999999999999996</v>
      </c>
      <c r="Q262" s="6">
        <v>97</v>
      </c>
      <c r="R262" s="10">
        <v>3.66</v>
      </c>
      <c r="S262" s="6">
        <v>86</v>
      </c>
      <c r="T262" s="5">
        <f t="shared" si="4"/>
        <v>0.48765432098765432</v>
      </c>
    </row>
    <row r="263" spans="1:20" x14ac:dyDescent="0.2">
      <c r="A263" s="26">
        <v>2019</v>
      </c>
      <c r="B263" s="3" t="s">
        <v>2</v>
      </c>
      <c r="C263" s="4">
        <v>2624126</v>
      </c>
      <c r="D263" s="4">
        <v>26249095</v>
      </c>
      <c r="E263" s="4">
        <v>8976740</v>
      </c>
      <c r="F263" s="4">
        <v>34000000</v>
      </c>
      <c r="G263" s="4">
        <f>SUM(B263:F263)</f>
        <v>71849961</v>
      </c>
      <c r="H263" s="4">
        <v>104585086</v>
      </c>
      <c r="I263" s="4">
        <v>223019037</v>
      </c>
      <c r="J263" s="27">
        <f>G263/I263</f>
        <v>0.32216963164449497</v>
      </c>
      <c r="K263" s="28">
        <f>H263/I263</f>
        <v>0.46895138373321915</v>
      </c>
      <c r="L263" s="8">
        <v>943</v>
      </c>
      <c r="M263" s="9">
        <v>0.82899999999999996</v>
      </c>
      <c r="N263" s="14">
        <v>32.700000000000003</v>
      </c>
      <c r="O263" s="8">
        <v>103</v>
      </c>
      <c r="P263" s="14">
        <v>4.3099999999999996</v>
      </c>
      <c r="Q263" s="8">
        <v>94</v>
      </c>
      <c r="R263" s="14">
        <v>4.47</v>
      </c>
      <c r="S263" s="8">
        <v>96</v>
      </c>
      <c r="T263" s="5">
        <f t="shared" si="4"/>
        <v>0.63580246913580252</v>
      </c>
    </row>
    <row r="264" spans="1:20" x14ac:dyDescent="0.2">
      <c r="A264" s="26">
        <v>2018</v>
      </c>
      <c r="B264" s="3" t="s">
        <v>2</v>
      </c>
      <c r="C264" s="4">
        <v>1992890</v>
      </c>
      <c r="D264" s="4">
        <v>14972769</v>
      </c>
      <c r="E264" s="4">
        <v>16176465</v>
      </c>
      <c r="F264" s="4">
        <v>25000000</v>
      </c>
      <c r="G264" s="4">
        <f>SUM(B264:F264)</f>
        <v>58142124</v>
      </c>
      <c r="H264" s="4">
        <v>89868705</v>
      </c>
      <c r="I264" s="4">
        <v>180098151</v>
      </c>
      <c r="J264" s="27">
        <f>G264/I264</f>
        <v>0.3228357630390109</v>
      </c>
      <c r="K264" s="28">
        <f>H264/I264</f>
        <v>0.49899848777459133</v>
      </c>
      <c r="L264" s="8">
        <v>851</v>
      </c>
      <c r="M264" s="9">
        <v>0.78100000000000003</v>
      </c>
      <c r="N264" s="14">
        <v>31.7</v>
      </c>
      <c r="O264" s="8">
        <v>100</v>
      </c>
      <c r="P264" s="14">
        <v>3.78</v>
      </c>
      <c r="Q264" s="8">
        <v>89</v>
      </c>
      <c r="R264" s="14">
        <v>3.63</v>
      </c>
      <c r="S264" s="8">
        <v>84</v>
      </c>
      <c r="T264" s="5">
        <f t="shared" si="4"/>
        <v>0.61728395061728392</v>
      </c>
    </row>
    <row r="265" spans="1:20" x14ac:dyDescent="0.2">
      <c r="A265" s="26">
        <v>2017</v>
      </c>
      <c r="B265" s="3" t="s">
        <v>2</v>
      </c>
      <c r="C265" s="4">
        <v>1456436</v>
      </c>
      <c r="D265" s="4">
        <v>35417814</v>
      </c>
      <c r="E265" s="4">
        <v>35809196</v>
      </c>
      <c r="F265" s="4">
        <v>13000000</v>
      </c>
      <c r="G265" s="4">
        <f>SUM(B265:F265)</f>
        <v>85683446</v>
      </c>
      <c r="H265" s="4">
        <v>79143450</v>
      </c>
      <c r="I265" s="4">
        <v>209690952</v>
      </c>
      <c r="J265" s="27">
        <f>G265/I265</f>
        <v>0.40861775476130224</v>
      </c>
      <c r="K265" s="28">
        <f>H265/I265</f>
        <v>0.377429017538153</v>
      </c>
      <c r="L265" s="8">
        <v>858</v>
      </c>
      <c r="M265" s="9">
        <v>0.78500000000000003</v>
      </c>
      <c r="N265" s="14">
        <v>29.2</v>
      </c>
      <c r="O265" s="8">
        <v>91</v>
      </c>
      <c r="P265" s="14">
        <v>3.75</v>
      </c>
      <c r="Q265" s="8">
        <v>86</v>
      </c>
      <c r="R265" s="14">
        <v>3.88</v>
      </c>
      <c r="S265" s="8">
        <v>86</v>
      </c>
      <c r="T265" s="5">
        <f t="shared" si="4"/>
        <v>0.56172839506172845</v>
      </c>
    </row>
    <row r="266" spans="1:20" x14ac:dyDescent="0.2">
      <c r="A266" s="26">
        <v>2016</v>
      </c>
      <c r="B266" s="3" t="s">
        <v>2</v>
      </c>
      <c r="C266" s="4">
        <f>17000000+556000</f>
        <v>17556000</v>
      </c>
      <c r="D266" s="4">
        <f>23125000+3200000+7857143+13000000+508600+2425000</f>
        <v>50115743</v>
      </c>
      <c r="E266" s="4">
        <f>21142857+13500000+15000000+574000+509700</f>
        <v>50726557</v>
      </c>
      <c r="F266" s="4">
        <v>21000000</v>
      </c>
      <c r="G266" s="4">
        <f>SUM(B266:F266)</f>
        <v>139398300</v>
      </c>
      <c r="H266" s="4">
        <f>62545450+22385300</f>
        <v>84930750</v>
      </c>
      <c r="I266" s="4">
        <v>227854350</v>
      </c>
      <c r="J266" s="27">
        <f>G266/I266</f>
        <v>0.61178687174504243</v>
      </c>
      <c r="K266" s="29">
        <f>H266/I266</f>
        <v>0.37274140256703459</v>
      </c>
      <c r="L266" s="6">
        <v>680</v>
      </c>
      <c r="M266" s="7">
        <v>0.72</v>
      </c>
      <c r="N266" s="10">
        <v>15.5</v>
      </c>
      <c r="O266" s="6">
        <v>84</v>
      </c>
      <c r="P266" s="10">
        <v>4.16</v>
      </c>
      <c r="Q266" s="6">
        <v>98</v>
      </c>
      <c r="R266" s="10">
        <v>4.2</v>
      </c>
      <c r="S266" s="6">
        <v>95</v>
      </c>
      <c r="T266" s="5">
        <f t="shared" si="4"/>
        <v>0.51851851851851849</v>
      </c>
    </row>
    <row r="267" spans="1:20" x14ac:dyDescent="0.2">
      <c r="A267" s="26">
        <v>2015</v>
      </c>
      <c r="B267" s="3" t="s">
        <v>2</v>
      </c>
      <c r="C267" s="4">
        <v>18131037</v>
      </c>
      <c r="D267" s="4">
        <v>22746739</v>
      </c>
      <c r="E267" s="4">
        <v>36813377</v>
      </c>
      <c r="F267" s="4">
        <v>37000000</v>
      </c>
      <c r="G267" s="4">
        <f>SUM(B267:F267)</f>
        <v>114691153</v>
      </c>
      <c r="H267" s="4">
        <v>72580288</v>
      </c>
      <c r="I267" s="4">
        <v>222528373</v>
      </c>
      <c r="J267" s="27">
        <f>G267/I267</f>
        <v>0.51540013281811936</v>
      </c>
      <c r="K267" s="29">
        <f>H267/I267</f>
        <v>0.32616194969438794</v>
      </c>
      <c r="L267" s="6">
        <v>764</v>
      </c>
      <c r="M267" s="7">
        <v>0.74399999999999999</v>
      </c>
      <c r="N267" s="10">
        <v>20.7</v>
      </c>
      <c r="O267" s="6">
        <v>87</v>
      </c>
      <c r="P267" s="10">
        <v>4.03</v>
      </c>
      <c r="Q267" s="6">
        <v>100</v>
      </c>
      <c r="R267" s="10">
        <v>3.97</v>
      </c>
      <c r="S267" s="6">
        <v>95</v>
      </c>
      <c r="T267" s="5">
        <f t="shared" si="4"/>
        <v>0.53703703703703709</v>
      </c>
    </row>
    <row r="268" spans="1:20" x14ac:dyDescent="0.2">
      <c r="A268" s="26">
        <v>2014</v>
      </c>
      <c r="B268" s="3" t="s">
        <v>2</v>
      </c>
      <c r="C268" s="4">
        <v>18047479</v>
      </c>
      <c r="D268" s="4">
        <v>47003277</v>
      </c>
      <c r="E268" s="4">
        <v>33316627</v>
      </c>
      <c r="F268" s="4">
        <v>18868852</v>
      </c>
      <c r="G268" s="4">
        <f>SUM(B268:F268)</f>
        <v>117236235</v>
      </c>
      <c r="H268" s="4">
        <v>80784229</v>
      </c>
      <c r="I268" s="4">
        <v>213798031</v>
      </c>
      <c r="J268" s="27">
        <f>G268/I268</f>
        <v>0.54835039617366732</v>
      </c>
      <c r="K268" s="29">
        <f>H268/I268</f>
        <v>0.37785300744888523</v>
      </c>
      <c r="L268" s="6">
        <v>633</v>
      </c>
      <c r="M268" s="7">
        <v>0.68700000000000006</v>
      </c>
      <c r="N268" s="10">
        <v>18.100000000000001</v>
      </c>
      <c r="O268" s="6">
        <v>84</v>
      </c>
      <c r="P268" s="10">
        <v>3.75</v>
      </c>
      <c r="Q268" s="6">
        <v>97</v>
      </c>
      <c r="R268" s="10">
        <v>3.67</v>
      </c>
      <c r="S268" s="6">
        <v>93</v>
      </c>
      <c r="T268" s="5">
        <f t="shared" si="4"/>
        <v>0.51851851851851849</v>
      </c>
    </row>
    <row r="269" spans="1:20" x14ac:dyDescent="0.2">
      <c r="A269" s="26">
        <v>2013</v>
      </c>
      <c r="B269" s="3" t="s">
        <v>2</v>
      </c>
      <c r="C269" s="4">
        <v>1528481</v>
      </c>
      <c r="D269" s="4">
        <v>57755183</v>
      </c>
      <c r="E269" s="4">
        <v>37378469</v>
      </c>
      <c r="F269" s="4">
        <v>30800000</v>
      </c>
      <c r="G269" s="4">
        <f>SUM(B269:F269)</f>
        <v>127462133</v>
      </c>
      <c r="H269" s="4">
        <v>80306168</v>
      </c>
      <c r="I269" s="4">
        <v>238088940</v>
      </c>
      <c r="J269" s="27">
        <f>G269/I269</f>
        <v>0.53535511981362927</v>
      </c>
      <c r="K269" s="29">
        <f>H269/I269</f>
        <v>0.33729482772278291</v>
      </c>
      <c r="L269" s="6">
        <v>650</v>
      </c>
      <c r="M269" s="7">
        <v>0.68300000000000005</v>
      </c>
      <c r="N269" s="10">
        <v>14.6</v>
      </c>
      <c r="O269" s="6">
        <v>85</v>
      </c>
      <c r="P269" s="10">
        <v>3.94</v>
      </c>
      <c r="Q269" s="6">
        <v>97</v>
      </c>
      <c r="R269" s="10">
        <v>3.89</v>
      </c>
      <c r="S269" s="6">
        <v>95</v>
      </c>
      <c r="T269" s="5">
        <f t="shared" si="4"/>
        <v>0.52469135802469136</v>
      </c>
    </row>
    <row r="270" spans="1:20" x14ac:dyDescent="0.2">
      <c r="A270" s="26">
        <v>2012</v>
      </c>
      <c r="B270" s="3" t="s">
        <v>2</v>
      </c>
      <c r="C270" s="4">
        <v>8978200</v>
      </c>
      <c r="D270" s="4">
        <v>57250097</v>
      </c>
      <c r="E270" s="4">
        <v>33341420</v>
      </c>
      <c r="F270" s="4">
        <v>31100000</v>
      </c>
      <c r="G270" s="4">
        <f>SUM(B270:F270)</f>
        <v>130669717</v>
      </c>
      <c r="H270" s="4">
        <v>83727215</v>
      </c>
      <c r="I270" s="4">
        <v>227545456</v>
      </c>
      <c r="J270" s="27">
        <f>G270/I270</f>
        <v>0.57425764195440576</v>
      </c>
      <c r="K270" s="29">
        <f>H270/I270</f>
        <v>0.36795819381249256</v>
      </c>
      <c r="L270" s="6">
        <v>804</v>
      </c>
      <c r="M270" s="7">
        <v>0.79</v>
      </c>
      <c r="N270" s="10">
        <v>33.6</v>
      </c>
      <c r="O270" s="6">
        <v>95</v>
      </c>
      <c r="P270" s="10">
        <v>3.85</v>
      </c>
      <c r="Q270" s="6">
        <v>92</v>
      </c>
      <c r="R270" s="10">
        <v>3.98</v>
      </c>
      <c r="S270" s="6">
        <v>93</v>
      </c>
      <c r="T270" s="5">
        <f t="shared" si="4"/>
        <v>0.5864197530864198</v>
      </c>
    </row>
    <row r="271" spans="1:20" x14ac:dyDescent="0.2">
      <c r="A271" s="26">
        <v>2011</v>
      </c>
      <c r="B271" s="3" t="s">
        <v>2</v>
      </c>
      <c r="C271" s="4">
        <v>18913700</v>
      </c>
      <c r="D271" s="4">
        <v>51286300</v>
      </c>
      <c r="E271" s="4">
        <v>20702900</v>
      </c>
      <c r="F271" s="4">
        <v>32000000</v>
      </c>
      <c r="G271" s="4">
        <f>SUM(B271:F271)</f>
        <v>122902900</v>
      </c>
      <c r="H271" s="4">
        <v>89706778</v>
      </c>
      <c r="I271" s="4">
        <v>212609678</v>
      </c>
      <c r="J271" s="27">
        <f>G271/I271</f>
        <v>0.57806822886021214</v>
      </c>
      <c r="K271" s="29">
        <f>H271/I271</f>
        <v>0.42193177113978791</v>
      </c>
      <c r="L271" s="6">
        <v>867</v>
      </c>
      <c r="M271" s="7">
        <v>0.78800000000000003</v>
      </c>
      <c r="N271" s="10">
        <v>37</v>
      </c>
      <c r="O271" s="6">
        <v>97</v>
      </c>
      <c r="P271" s="10">
        <v>3.73</v>
      </c>
      <c r="Q271" s="6">
        <v>89</v>
      </c>
      <c r="R271" s="10">
        <v>3.87</v>
      </c>
      <c r="S271" s="6">
        <v>92</v>
      </c>
      <c r="T271" s="5">
        <f t="shared" si="4"/>
        <v>0.59876543209876543</v>
      </c>
    </row>
  </sheetData>
  <sortState xmlns:xlrd2="http://schemas.microsoft.com/office/spreadsheetml/2017/richdata2" ref="A2:S271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Payrolls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2020-07-29T03:39:40Z</dcterms:created>
  <dcterms:modified xsi:type="dcterms:W3CDTF">2020-08-01T20:11:54Z</dcterms:modified>
</cp:coreProperties>
</file>