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ttvernaci/Desktop/SP20/Consulting/Mehrkam Project/"/>
    </mc:Choice>
  </mc:AlternateContent>
  <xr:revisionPtr revIDLastSave="0" documentId="8_{E4739AAF-3745-3448-9655-CAE3C4B9D3D0}" xr6:coauthVersionLast="45" xr6:coauthVersionMax="45" xr10:uidLastSave="{00000000-0000-0000-0000-000000000000}"/>
  <bookViews>
    <workbookView xWindow="0" yWindow="460" windowWidth="28800" windowHeight="16420" tabRatio="500" firstSheet="9" activeTab="14" xr2:uid="{00000000-000D-0000-FFFF-FFFF00000000}"/>
  </bookViews>
  <sheets>
    <sheet name="PairAssignments" sheetId="14" r:id="rId1"/>
    <sheet name="Averages" sheetId="11" r:id="rId2"/>
    <sheet name="P1_Kobe&amp;Ian" sheetId="1" r:id="rId3"/>
    <sheet name="P2_Sally&amp;Vanya" sheetId="2" r:id="rId4"/>
    <sheet name="P3_Rocky&amp;Oaky" sheetId="3" r:id="rId5"/>
    <sheet name="P4_Rosie&amp;Carlie" sheetId="5" r:id="rId6"/>
    <sheet name="P5_Koda&amp;Ava" sheetId="4" r:id="rId7"/>
    <sheet name="P6_Kodi &amp; Kaia" sheetId="6" r:id="rId8"/>
    <sheet name="P7_Dax &amp; Fiona" sheetId="7" r:id="rId9"/>
    <sheet name="P8_Mason&amp;Coffee" sheetId="8" r:id="rId10"/>
    <sheet name="P9_Gunner&amp;Cato" sheetId="9" r:id="rId11"/>
    <sheet name="P10_Misha&amp;Houston" sheetId="10" r:id="rId12"/>
    <sheet name="P11_Rev&amp;Blitz" sheetId="12" r:id="rId13"/>
    <sheet name="P12_Jude&amp;Luna" sheetId="13" r:id="rId14"/>
    <sheet name="SD Master" sheetId="15" r:id="rId15"/>
  </sheets>
  <externalReferences>
    <externalReference r:id="rId16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1" i="15" l="1"/>
  <c r="D110" i="15"/>
  <c r="D109" i="15"/>
  <c r="D108" i="15"/>
  <c r="D107" i="15"/>
  <c r="D104" i="15"/>
  <c r="D103" i="15"/>
  <c r="D102" i="15"/>
  <c r="D101" i="15"/>
  <c r="D100" i="15"/>
  <c r="D99" i="15"/>
  <c r="D98" i="15"/>
  <c r="D97" i="15"/>
  <c r="D96" i="15"/>
  <c r="D95" i="15"/>
  <c r="D94" i="15"/>
  <c r="E93" i="15"/>
  <c r="D93" i="15"/>
  <c r="D92" i="15"/>
  <c r="E91" i="15"/>
  <c r="D91" i="15"/>
  <c r="D89" i="15"/>
  <c r="D88" i="15"/>
  <c r="E87" i="15"/>
  <c r="D87" i="15"/>
  <c r="D86" i="15"/>
  <c r="D85" i="15"/>
  <c r="E83" i="15"/>
  <c r="D83" i="15"/>
  <c r="D82" i="15"/>
  <c r="D80" i="15"/>
  <c r="D72" i="15"/>
  <c r="E71" i="15"/>
  <c r="D71" i="15"/>
  <c r="E70" i="15"/>
  <c r="D70" i="15"/>
  <c r="D69" i="15"/>
  <c r="D68" i="15"/>
  <c r="D67" i="15"/>
  <c r="D66" i="15"/>
  <c r="D63" i="15"/>
  <c r="D62" i="15"/>
  <c r="D60" i="15"/>
  <c r="D59" i="15"/>
  <c r="E58" i="15"/>
  <c r="D58" i="15"/>
  <c r="D57" i="15"/>
  <c r="E55" i="15"/>
  <c r="D55" i="15"/>
  <c r="D54" i="15"/>
  <c r="D53" i="15"/>
  <c r="D52" i="15"/>
  <c r="D32" i="15"/>
  <c r="D31" i="15"/>
  <c r="D30" i="15"/>
  <c r="D29" i="15"/>
  <c r="D28" i="15"/>
  <c r="D27" i="15"/>
  <c r="D25" i="15"/>
  <c r="D24" i="15"/>
  <c r="D23" i="15"/>
  <c r="D22" i="15"/>
  <c r="D21" i="15"/>
  <c r="E19" i="15"/>
  <c r="D19" i="15"/>
  <c r="E18" i="15"/>
  <c r="D18" i="15"/>
  <c r="E17" i="15"/>
  <c r="D16" i="15"/>
  <c r="E15" i="15"/>
  <c r="D15" i="15"/>
  <c r="E14" i="15"/>
  <c r="D14" i="15"/>
  <c r="D13" i="15"/>
  <c r="D12" i="15"/>
  <c r="D8" i="15"/>
  <c r="D7" i="15"/>
  <c r="D6" i="15"/>
  <c r="D5" i="15"/>
  <c r="D4" i="15"/>
  <c r="D3" i="15"/>
  <c r="D2" i="15"/>
  <c r="H4" i="11"/>
  <c r="H5" i="11"/>
  <c r="H6" i="11"/>
  <c r="H7" i="11"/>
  <c r="H8" i="11"/>
  <c r="H9" i="11"/>
  <c r="H10" i="11"/>
  <c r="H11" i="11"/>
  <c r="H12" i="11"/>
  <c r="H13" i="11"/>
  <c r="H14" i="11"/>
  <c r="H15" i="11"/>
  <c r="H17" i="11"/>
  <c r="I5" i="11"/>
  <c r="I4" i="11"/>
  <c r="I6" i="11"/>
  <c r="I7" i="11"/>
  <c r="I8" i="11"/>
  <c r="AE8" i="11"/>
  <c r="AH8" i="11"/>
  <c r="I9" i="11"/>
  <c r="I10" i="11"/>
  <c r="I11" i="11"/>
  <c r="I12" i="11"/>
  <c r="I13" i="11"/>
  <c r="I14" i="11"/>
  <c r="I15" i="11"/>
  <c r="I17" i="11"/>
  <c r="I16" i="11"/>
  <c r="H16" i="11"/>
  <c r="C6" i="11"/>
  <c r="C7" i="11"/>
  <c r="C8" i="11"/>
  <c r="C9" i="11"/>
  <c r="C10" i="11"/>
  <c r="C11" i="11"/>
  <c r="C12" i="11"/>
  <c r="C13" i="11"/>
  <c r="C14" i="11"/>
  <c r="C15" i="11"/>
  <c r="C17" i="11"/>
  <c r="C16" i="11"/>
  <c r="C5" i="11"/>
  <c r="B4" i="11"/>
  <c r="B5" i="11"/>
  <c r="B6" i="11"/>
  <c r="B7" i="11"/>
  <c r="B8" i="11"/>
  <c r="B9" i="11"/>
  <c r="B10" i="11"/>
  <c r="B11" i="11"/>
  <c r="B12" i="11"/>
  <c r="B13" i="11"/>
  <c r="B14" i="11"/>
  <c r="B15" i="11"/>
  <c r="B17" i="11"/>
  <c r="B16" i="11"/>
  <c r="C4" i="11"/>
  <c r="U21" i="11"/>
  <c r="U22" i="11"/>
  <c r="U23" i="11"/>
  <c r="U24" i="11"/>
  <c r="U25" i="11"/>
  <c r="U26" i="11"/>
  <c r="U27" i="11"/>
  <c r="U28" i="11"/>
  <c r="U29" i="11"/>
  <c r="U30" i="11"/>
  <c r="U31" i="11"/>
  <c r="U35" i="11"/>
  <c r="V21" i="11"/>
  <c r="V22" i="11"/>
  <c r="V23" i="11"/>
  <c r="V24" i="11"/>
  <c r="V25" i="11"/>
  <c r="V26" i="11"/>
  <c r="V27" i="11"/>
  <c r="V28" i="11"/>
  <c r="V29" i="11"/>
  <c r="V30" i="11"/>
  <c r="V31" i="11"/>
  <c r="V35" i="11"/>
  <c r="W21" i="11"/>
  <c r="W22" i="11"/>
  <c r="W23" i="11"/>
  <c r="W24" i="11"/>
  <c r="W25" i="11"/>
  <c r="W26" i="11"/>
  <c r="W27" i="11"/>
  <c r="W28" i="11"/>
  <c r="W29" i="11"/>
  <c r="W30" i="11"/>
  <c r="W31" i="11"/>
  <c r="W35" i="11"/>
  <c r="T21" i="11"/>
  <c r="T22" i="11"/>
  <c r="T23" i="11"/>
  <c r="T24" i="11"/>
  <c r="T25" i="11"/>
  <c r="T26" i="11"/>
  <c r="T27" i="11"/>
  <c r="T28" i="11"/>
  <c r="T29" i="11"/>
  <c r="T30" i="11"/>
  <c r="T31" i="11"/>
  <c r="T35" i="11"/>
  <c r="W34" i="11"/>
  <c r="V34" i="11"/>
  <c r="U34" i="11"/>
  <c r="T34" i="11"/>
  <c r="W33" i="11"/>
  <c r="V33" i="11"/>
  <c r="U33" i="11"/>
  <c r="T33" i="11"/>
  <c r="AB15" i="11"/>
  <c r="AB16" i="11"/>
  <c r="AC15" i="11"/>
  <c r="AD15" i="11"/>
  <c r="AE15" i="11"/>
  <c r="AF15" i="11"/>
  <c r="AG15" i="11"/>
  <c r="AH15" i="11"/>
  <c r="AI15" i="11"/>
  <c r="AJ15" i="11"/>
  <c r="AK15" i="11"/>
  <c r="Y15" i="11"/>
  <c r="X15" i="11"/>
  <c r="W15" i="11"/>
  <c r="V15" i="11"/>
  <c r="U15" i="11"/>
  <c r="T15" i="11"/>
  <c r="S15" i="11"/>
  <c r="R15" i="11"/>
  <c r="Q15" i="11"/>
  <c r="P15" i="11"/>
  <c r="Q21" i="11"/>
  <c r="Q22" i="11"/>
  <c r="Q23" i="11"/>
  <c r="Q24" i="11"/>
  <c r="Q25" i="11"/>
  <c r="Q26" i="11"/>
  <c r="Q27" i="11"/>
  <c r="Q28" i="11"/>
  <c r="Q29" i="11"/>
  <c r="Q30" i="11"/>
  <c r="Q31" i="11"/>
  <c r="Q37" i="11"/>
  <c r="P21" i="11"/>
  <c r="P22" i="11"/>
  <c r="P23" i="11"/>
  <c r="P24" i="11"/>
  <c r="P25" i="11"/>
  <c r="P26" i="11"/>
  <c r="P27" i="11"/>
  <c r="P28" i="11"/>
  <c r="P29" i="11"/>
  <c r="P30" i="11"/>
  <c r="P31" i="11"/>
  <c r="P37" i="11"/>
  <c r="Q36" i="11"/>
  <c r="P36" i="11"/>
  <c r="Q33" i="11"/>
  <c r="P33" i="11"/>
  <c r="Q32" i="11"/>
  <c r="P32" i="11"/>
  <c r="P16" i="11"/>
  <c r="E11" i="9"/>
  <c r="D11" i="9"/>
  <c r="C9" i="10"/>
  <c r="C8" i="10"/>
  <c r="C7" i="10"/>
  <c r="C6" i="10"/>
  <c r="C5" i="10"/>
  <c r="C4" i="10"/>
  <c r="D3" i="10"/>
  <c r="C3" i="10"/>
  <c r="C2" i="10"/>
  <c r="C11" i="10"/>
  <c r="C10" i="10"/>
  <c r="D9" i="9"/>
  <c r="D8" i="9"/>
  <c r="D7" i="9"/>
  <c r="D6" i="9"/>
  <c r="D5" i="9"/>
  <c r="D3" i="9"/>
  <c r="D2" i="9"/>
  <c r="E7" i="9"/>
  <c r="E3" i="9"/>
  <c r="L8" i="6"/>
  <c r="L5" i="6"/>
  <c r="K10" i="6"/>
  <c r="K9" i="6"/>
  <c r="K8" i="6"/>
  <c r="K7" i="6"/>
  <c r="K5" i="6"/>
  <c r="K4" i="6"/>
  <c r="K3" i="6"/>
  <c r="K2" i="6"/>
  <c r="O2" i="6"/>
  <c r="O3" i="6"/>
  <c r="O4" i="6"/>
  <c r="O5" i="6"/>
  <c r="O6" i="6"/>
  <c r="O7" i="6"/>
  <c r="O8" i="6"/>
  <c r="O9" i="6"/>
  <c r="O10" i="6"/>
  <c r="O11" i="6"/>
  <c r="N3" i="6"/>
  <c r="N4" i="6"/>
  <c r="N5" i="6"/>
  <c r="N6" i="6"/>
  <c r="N7" i="6"/>
  <c r="N8" i="6"/>
  <c r="N9" i="6"/>
  <c r="N10" i="6"/>
  <c r="N11" i="6"/>
  <c r="N2" i="6"/>
  <c r="O11" i="7"/>
  <c r="O10" i="7"/>
  <c r="R11" i="7"/>
  <c r="R10" i="7"/>
  <c r="N11" i="7"/>
  <c r="N10" i="7"/>
  <c r="N9" i="7"/>
  <c r="N8" i="7"/>
  <c r="N7" i="7"/>
  <c r="N6" i="7"/>
  <c r="N3" i="7"/>
  <c r="N2" i="7"/>
  <c r="Q3" i="7"/>
  <c r="Q4" i="7"/>
  <c r="Q5" i="7"/>
  <c r="Q6" i="7"/>
  <c r="Q7" i="7"/>
  <c r="Q8" i="7"/>
  <c r="Q9" i="7"/>
  <c r="Q10" i="7"/>
  <c r="Q11" i="7"/>
  <c r="Q2" i="7"/>
  <c r="L2" i="5"/>
  <c r="O11" i="5"/>
  <c r="O10" i="5"/>
  <c r="O9" i="5"/>
  <c r="O8" i="5"/>
  <c r="O7" i="5"/>
  <c r="O6" i="5"/>
  <c r="O5" i="5"/>
  <c r="O4" i="5"/>
  <c r="O3" i="5"/>
  <c r="O2" i="5"/>
  <c r="K11" i="3"/>
  <c r="K10" i="3"/>
  <c r="K9" i="3"/>
  <c r="K8" i="3"/>
  <c r="K7" i="3"/>
  <c r="K5" i="3"/>
  <c r="K4" i="3"/>
  <c r="K3" i="3"/>
  <c r="K2" i="3"/>
  <c r="N3" i="3"/>
  <c r="N4" i="3"/>
  <c r="N5" i="3"/>
  <c r="N6" i="3"/>
  <c r="N7" i="3"/>
  <c r="N8" i="3"/>
  <c r="N9" i="3"/>
  <c r="N10" i="3"/>
  <c r="N11" i="3"/>
  <c r="N2" i="3"/>
  <c r="K9" i="2"/>
  <c r="K8" i="2"/>
  <c r="K5" i="2"/>
  <c r="K7" i="2"/>
  <c r="K4" i="2"/>
  <c r="O3" i="2"/>
  <c r="O4" i="2"/>
  <c r="O5" i="2"/>
  <c r="O6" i="2"/>
  <c r="O7" i="2"/>
  <c r="O8" i="2"/>
  <c r="O9" i="2"/>
  <c r="O10" i="2"/>
  <c r="O11" i="2"/>
  <c r="O2" i="2"/>
  <c r="J2" i="2"/>
  <c r="N2" i="2"/>
  <c r="J11" i="2"/>
  <c r="J9" i="2"/>
  <c r="J8" i="2"/>
  <c r="J6" i="2"/>
  <c r="J5" i="2"/>
  <c r="J4" i="2"/>
  <c r="J3" i="2"/>
  <c r="N3" i="2"/>
  <c r="N4" i="2"/>
  <c r="N5" i="2"/>
  <c r="N6" i="2"/>
  <c r="N7" i="2"/>
  <c r="N8" i="2"/>
  <c r="N9" i="2"/>
  <c r="N10" i="2"/>
  <c r="N11" i="2"/>
  <c r="C10" i="8"/>
  <c r="C2" i="8"/>
  <c r="B8" i="1"/>
  <c r="B7" i="1"/>
  <c r="B6" i="1"/>
  <c r="B5" i="1"/>
  <c r="B4" i="1"/>
  <c r="B3" i="1"/>
  <c r="B2" i="1"/>
  <c r="C11" i="12"/>
  <c r="C10" i="12"/>
  <c r="C9" i="12"/>
  <c r="C8" i="12"/>
  <c r="C7" i="12"/>
  <c r="C4" i="12"/>
  <c r="C3" i="12"/>
  <c r="C2" i="12"/>
  <c r="C8" i="7"/>
  <c r="C6" i="7"/>
  <c r="C2" i="7"/>
  <c r="AK16" i="11"/>
  <c r="AJ16" i="11"/>
  <c r="AI16" i="11"/>
  <c r="AH16" i="11"/>
  <c r="AG16" i="11"/>
  <c r="AF16" i="11"/>
  <c r="AE16" i="11"/>
  <c r="AD16" i="11"/>
  <c r="AC16" i="11"/>
  <c r="Q16" i="11"/>
  <c r="R16" i="11"/>
  <c r="S16" i="11"/>
  <c r="T16" i="11"/>
  <c r="U16" i="11"/>
  <c r="V16" i="11"/>
  <c r="W16" i="11"/>
  <c r="X16" i="11"/>
  <c r="Y16" i="11"/>
  <c r="C11" i="7"/>
  <c r="D11" i="7"/>
  <c r="C10" i="7"/>
  <c r="D10" i="7"/>
  <c r="C10" i="6"/>
  <c r="C9" i="6"/>
  <c r="D8" i="6"/>
  <c r="C8" i="6"/>
  <c r="C7" i="6"/>
  <c r="C7" i="7"/>
  <c r="C9" i="7"/>
  <c r="C4" i="7"/>
  <c r="C11" i="3"/>
  <c r="C10" i="3"/>
  <c r="C9" i="3"/>
  <c r="C8" i="3"/>
  <c r="C7" i="3"/>
  <c r="C6" i="3"/>
  <c r="C5" i="3"/>
  <c r="C4" i="3"/>
  <c r="C3" i="3"/>
  <c r="C2" i="3"/>
  <c r="C11" i="5"/>
  <c r="C7" i="5"/>
  <c r="C6" i="5"/>
  <c r="C5" i="5"/>
  <c r="C4" i="5"/>
  <c r="C3" i="5"/>
  <c r="C2" i="5"/>
  <c r="C3" i="7"/>
  <c r="D5" i="6"/>
  <c r="C5" i="6"/>
  <c r="C4" i="6"/>
  <c r="C3" i="6"/>
  <c r="C2" i="6"/>
  <c r="D4" i="2"/>
  <c r="D3" i="2"/>
  <c r="D2" i="2"/>
  <c r="D5" i="2"/>
  <c r="D6" i="2"/>
  <c r="B7" i="2"/>
  <c r="C7" i="2"/>
  <c r="D7" i="2"/>
  <c r="B8" i="2"/>
  <c r="C8" i="2"/>
  <c r="D8" i="2"/>
  <c r="B9" i="2"/>
  <c r="C9" i="2"/>
  <c r="D9" i="2"/>
  <c r="B11" i="2"/>
  <c r="D11" i="2"/>
</calcChain>
</file>

<file path=xl/sharedStrings.xml><?xml version="1.0" encoding="utf-8"?>
<sst xmlns="http://schemas.openxmlformats.org/spreadsheetml/2006/main" count="354" uniqueCount="77">
  <si>
    <t>Session</t>
  </si>
  <si>
    <t>Percent of Scored Intervals in SD</t>
  </si>
  <si>
    <t>Percent of Scored Intervals in S-delta</t>
  </si>
  <si>
    <t>Date</t>
  </si>
  <si>
    <t>Discrimination Index</t>
  </si>
  <si>
    <t xml:space="preserve">SD (Attention) </t>
  </si>
  <si>
    <t>S-Delta (No Attention)</t>
  </si>
  <si>
    <t>nonconsecx</t>
  </si>
  <si>
    <t>nonconsecy</t>
  </si>
  <si>
    <t>SD (Owner Attention)</t>
  </si>
  <si>
    <t>SD1</t>
  </si>
  <si>
    <t>SDelta1</t>
  </si>
  <si>
    <t>Kobe&amp;Ian</t>
  </si>
  <si>
    <t>Sally &amp; Vanya</t>
  </si>
  <si>
    <t>Rocky &amp; Oaky</t>
  </si>
  <si>
    <t>Rosie &amp; Carlie</t>
  </si>
  <si>
    <t>Kodi &amp; Kaia</t>
  </si>
  <si>
    <t>Dax &amp; Fiona</t>
  </si>
  <si>
    <t>Misha &amp; Houston</t>
  </si>
  <si>
    <t>SD2</t>
  </si>
  <si>
    <t>SDelta2</t>
  </si>
  <si>
    <t>SD3</t>
  </si>
  <si>
    <t>SDelta3</t>
  </si>
  <si>
    <t>SD4</t>
  </si>
  <si>
    <t>SDelta4</t>
  </si>
  <si>
    <t>SD5</t>
  </si>
  <si>
    <t>SDelta5</t>
  </si>
  <si>
    <t>SD6</t>
  </si>
  <si>
    <t>SDelta6</t>
  </si>
  <si>
    <t>SD7</t>
  </si>
  <si>
    <t>SDelta7</t>
  </si>
  <si>
    <t>SD8</t>
  </si>
  <si>
    <t>SDelta8</t>
  </si>
  <si>
    <t>SD9</t>
  </si>
  <si>
    <t>SDelta9</t>
  </si>
  <si>
    <t>SD10</t>
  </si>
  <si>
    <t>SDelta10</t>
  </si>
  <si>
    <t>AVERAGE</t>
  </si>
  <si>
    <t>SDERROR</t>
  </si>
  <si>
    <t xml:space="preserve"> 2/25/14</t>
  </si>
  <si>
    <t xml:space="preserve"> 2/26/14</t>
  </si>
  <si>
    <t xml:space="preserve"> 2/27/14</t>
  </si>
  <si>
    <t>SD</t>
  </si>
  <si>
    <t>S-Delta</t>
  </si>
  <si>
    <t>SD (s)</t>
  </si>
  <si>
    <t>S-Delta (s)</t>
  </si>
  <si>
    <t>STDEV</t>
  </si>
  <si>
    <t>Koda &amp; Ava</t>
  </si>
  <si>
    <t>Mason &amp; Coffee</t>
  </si>
  <si>
    <t>Gunner &amp; Cato</t>
  </si>
  <si>
    <t>Rev &amp; Blitz</t>
  </si>
  <si>
    <t>Jude &amp; Luna</t>
  </si>
  <si>
    <t>Attention Available</t>
  </si>
  <si>
    <t>No Attention</t>
  </si>
  <si>
    <t>RELATIVE EFFECTS</t>
  </si>
  <si>
    <t>ABSOLUTE EFFECTS</t>
  </si>
  <si>
    <t>Subjects</t>
  </si>
  <si>
    <t>SD (1-10)</t>
  </si>
  <si>
    <t>S-Delta (1-10)</t>
  </si>
  <si>
    <t>Average</t>
  </si>
  <si>
    <t>Total</t>
  </si>
  <si>
    <t>SD(10)</t>
  </si>
  <si>
    <t>No Attention10</t>
  </si>
  <si>
    <t>Available</t>
  </si>
  <si>
    <t>Unavailable</t>
  </si>
  <si>
    <t>AVERAGES - sum of seconds</t>
  </si>
  <si>
    <t>Attention10</t>
  </si>
  <si>
    <t>Pair Number</t>
  </si>
  <si>
    <t xml:space="preserve">Names </t>
  </si>
  <si>
    <t>Mean Age</t>
  </si>
  <si>
    <t>Sex (1= both male; 2 = both female, 3 = male &amp; female)</t>
  </si>
  <si>
    <t>Kobe &amp; Ian</t>
  </si>
  <si>
    <t>Sally and Vanya</t>
  </si>
  <si>
    <t xml:space="preserve">Jude &amp; Luna </t>
  </si>
  <si>
    <t>Dog Pair</t>
  </si>
  <si>
    <t>Dog Pair #</t>
  </si>
  <si>
    <t>Session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</si>
</sst>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Averages!$B$20</c:f>
              <c:strCache>
                <c:ptCount val="1"/>
                <c:pt idx="0">
                  <c:v>Attention Available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571.20000000000005"/>
          </c:errBars>
          <c:cat>
            <c:strRef>
              <c:f>Averages!$A$21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Averages!$B$21</c:f>
              <c:numCache>
                <c:formatCode>General</c:formatCode>
                <c:ptCount val="1"/>
                <c:pt idx="0">
                  <c:v>915.75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1-47AD-B57D-5C5B1F6E6AE1}"/>
            </c:ext>
          </c:extLst>
        </c:ser>
        <c:ser>
          <c:idx val="1"/>
          <c:order val="1"/>
          <c:tx>
            <c:strRef>
              <c:f>Averages!$C$20</c:f>
              <c:strCache>
                <c:ptCount val="1"/>
                <c:pt idx="0">
                  <c:v>No Attention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11-47AD-B57D-5C5B1F6E6AE1}"/>
              </c:ext>
            </c:extLst>
          </c:dPt>
          <c:errBars>
            <c:errBarType val="both"/>
            <c:errValType val="fixedVal"/>
            <c:noEndCap val="0"/>
            <c:val val="133.5"/>
          </c:errBars>
          <c:cat>
            <c:strRef>
              <c:f>Averages!$A$21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Averages!$C$21</c:f>
              <c:numCache>
                <c:formatCode>General</c:formatCode>
                <c:ptCount val="1"/>
                <c:pt idx="0">
                  <c:v>123.2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1-47AD-B57D-5C5B1F6E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131348056"/>
        <c:axId val="-2002379400"/>
      </c:barChart>
      <c:catAx>
        <c:axId val="21313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02379400"/>
        <c:crosses val="autoZero"/>
        <c:auto val="1"/>
        <c:lblAlgn val="ctr"/>
        <c:lblOffset val="100"/>
        <c:noMultiLvlLbl val="0"/>
      </c:catAx>
      <c:valAx>
        <c:axId val="-2002379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Mean</a:t>
                </a:r>
                <a:r>
                  <a:rPr lang="en-US" sz="1100" baseline="0"/>
                  <a:t> duration of social play (s)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5000000000000001E-2"/>
              <c:y val="7.664224263633709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3480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'[1]Kodi &amp; Kaia'!$C$1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88B4-4608-BD18-9B19B9F13A06}"/>
              </c:ext>
            </c:extLst>
          </c:dPt>
          <c:xVal>
            <c:numRef>
              <c:f>'[1]Carlie &amp; Rosie'!$AB$3:$AB$12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'[1]Carlie &amp; Rosie'!$AC$3:$AC$12</c:f>
              <c:numCache>
                <c:formatCode>General</c:formatCode>
                <c:ptCount val="10"/>
                <c:pt idx="0">
                  <c:v>11.666666666666666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11.666666666666666</c:v>
                </c:pt>
                <c:pt idx="4">
                  <c:v>6.666666666666667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4-4608-BD18-9B19B9F13A06}"/>
            </c:ext>
          </c:extLst>
        </c:ser>
        <c:ser>
          <c:idx val="1"/>
          <c:order val="1"/>
          <c:tx>
            <c:strRef>
              <c:f>'[1]Kodi &amp; Kaia'!$D$1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3-88B4-4608-BD18-9B19B9F13A06}"/>
              </c:ext>
            </c:extLst>
          </c:dPt>
          <c:xVal>
            <c:numRef>
              <c:f>'[1]Carlie &amp; Rosie'!$AB$3:$AB$12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'[1]Carlie &amp; Rosie'!$AD$3:$AD$12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B4-4608-BD18-9B19B9F1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84344"/>
        <c:axId val="-2053355544"/>
      </c:scatterChart>
      <c:valAx>
        <c:axId val="-2049684344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355544"/>
        <c:crosses val="autoZero"/>
        <c:crossBetween val="midCat"/>
      </c:valAx>
      <c:valAx>
        <c:axId val="-205335554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5-s intervals play occurred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968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'P4_Rosie&amp;Carlie'!$L$2:$L$11</c:f>
              <c:numCache>
                <c:formatCode>General</c:formatCode>
                <c:ptCount val="10"/>
                <c:pt idx="0">
                  <c:v>35</c:v>
                </c:pt>
                <c:pt idx="1">
                  <c:v>5</c:v>
                </c:pt>
                <c:pt idx="2">
                  <c:v>5</c:v>
                </c:pt>
                <c:pt idx="3">
                  <c:v>35</c:v>
                </c:pt>
                <c:pt idx="4">
                  <c:v>20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2-49BF-8725-0C2127224009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'P4_Rosie&amp;Carlie'!$M$2:$M$11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2-49BF-8725-0C212722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928072"/>
        <c:axId val="-2053902488"/>
      </c:scatterChart>
      <c:valAx>
        <c:axId val="-204992807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053902488"/>
        <c:crosses val="autoZero"/>
        <c:crossBetween val="midCat"/>
      </c:valAx>
      <c:valAx>
        <c:axId val="-2053902488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049928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'P5_Koda&amp;Ava'!$A$2:$A$11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'P5_Koda&amp;Ava'!$B$2:$B$11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A-49C9-967C-73CFF80B8D99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'P5_Koda&amp;Ava'!$C$2:$C$11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A-49C9-967C-73CFF80B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828312"/>
        <c:axId val="2119928120"/>
      </c:scatterChart>
      <c:valAx>
        <c:axId val="-200282831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119928120"/>
        <c:crosses val="autoZero"/>
        <c:crossBetween val="midCat"/>
      </c:valAx>
      <c:valAx>
        <c:axId val="2119928120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0028283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'[1]Kodi &amp; Kaia (2)'!$C$1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5FC-4D65-B8CF-1727264701E8}"/>
              </c:ext>
            </c:extLst>
          </c:dPt>
          <c:dPt>
            <c:idx val="4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5FC-4D65-B8CF-1727264701E8}"/>
              </c:ext>
            </c:extLst>
          </c:dPt>
          <c:dPt>
            <c:idx val="5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5FC-4D65-B8CF-1727264701E8}"/>
              </c:ext>
            </c:extLst>
          </c:dPt>
          <c:xVal>
            <c:numRef>
              <c:f>'P6_Kodi &amp; Kaia'!$B$2:$B$11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'P6_Kodi &amp; Kaia'!$C$2:$C$11</c:f>
              <c:numCache>
                <c:formatCode>General</c:formatCode>
                <c:ptCount val="10"/>
                <c:pt idx="0">
                  <c:v>41.666666666666671</c:v>
                </c:pt>
                <c:pt idx="1">
                  <c:v>25</c:v>
                </c:pt>
                <c:pt idx="2">
                  <c:v>66.666666666666657</c:v>
                </c:pt>
                <c:pt idx="3">
                  <c:v>58.333333333333336</c:v>
                </c:pt>
                <c:pt idx="4">
                  <c:v>0</c:v>
                </c:pt>
                <c:pt idx="5">
                  <c:v>21.666666666666668</c:v>
                </c:pt>
                <c:pt idx="6">
                  <c:v>30</c:v>
                </c:pt>
                <c:pt idx="7">
                  <c:v>33.333333333333329</c:v>
                </c:pt>
                <c:pt idx="8">
                  <c:v>55.000000000000007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FC-4D65-B8CF-1727264701E8}"/>
            </c:ext>
          </c:extLst>
        </c:ser>
        <c:ser>
          <c:idx val="1"/>
          <c:order val="1"/>
          <c:tx>
            <c:strRef>
              <c:f>'[1]Kodi &amp; Kaia (2)'!$D$1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8-95FC-4D65-B8CF-1727264701E8}"/>
              </c:ext>
            </c:extLst>
          </c:dPt>
          <c:dPt>
            <c:idx val="4"/>
            <c:bubble3D val="0"/>
            <c:spPr>
              <a:ln w="25400"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A-95FC-4D65-B8CF-1727264701E8}"/>
              </c:ext>
            </c:extLst>
          </c:dPt>
          <c:dPt>
            <c:idx val="5"/>
            <c:bubble3D val="0"/>
            <c:spPr>
              <a:ln w="25400"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C-95FC-4D65-B8CF-1727264701E8}"/>
              </c:ext>
            </c:extLst>
          </c:dPt>
          <c:xVal>
            <c:numRef>
              <c:f>'P6_Kodi &amp; Kaia'!$B$2:$B$11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'P6_Kodi &amp; Kaia'!$D$2:$D$11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36.666666666666664</c:v>
                </c:pt>
                <c:pt idx="4">
                  <c:v>0</c:v>
                </c:pt>
                <c:pt idx="5">
                  <c:v>0</c:v>
                </c:pt>
                <c:pt idx="6">
                  <c:v>28.333333333333332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5FC-4D65-B8CF-1727264701E8}"/>
            </c:ext>
          </c:extLst>
        </c:ser>
        <c:ser>
          <c:idx val="2"/>
          <c:order val="2"/>
          <c:tx>
            <c:v>breakline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2"/>
            <c:bubble3D val="0"/>
            <c:spPr>
              <a:ln w="25400"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95FC-4D65-B8CF-1727264701E8}"/>
              </c:ext>
            </c:extLst>
          </c:dPt>
          <c:dPt>
            <c:idx val="4"/>
            <c:bubble3D val="0"/>
            <c:spPr>
              <a:ln w="25400"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11-95FC-4D65-B8CF-1727264701E8}"/>
              </c:ext>
            </c:extLst>
          </c:dPt>
          <c:xVal>
            <c:numRef>
              <c:f>'P6_Kodi &amp; Kaia'!$F$2:$F$7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4.5</c:v>
                </c:pt>
                <c:pt idx="3">
                  <c:v>4.5</c:v>
                </c:pt>
                <c:pt idx="4">
                  <c:v>5.5</c:v>
                </c:pt>
                <c:pt idx="5">
                  <c:v>5.5</c:v>
                </c:pt>
              </c:numCache>
            </c:numRef>
          </c:xVal>
          <c:yVal>
            <c:numRef>
              <c:f>'P6_Kodi &amp; Kaia'!$G$2:$G$7</c:f>
              <c:numCache>
                <c:formatCode>General</c:formatCode>
                <c:ptCount val="6"/>
                <c:pt idx="0">
                  <c:v>0</c:v>
                </c:pt>
                <c:pt idx="1">
                  <c:v>110</c:v>
                </c:pt>
                <c:pt idx="2">
                  <c:v>0</c:v>
                </c:pt>
                <c:pt idx="3">
                  <c:v>110</c:v>
                </c:pt>
                <c:pt idx="4">
                  <c:v>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5FC-4D65-B8CF-17272647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393096"/>
        <c:axId val="-2003623032"/>
      </c:scatterChart>
      <c:valAx>
        <c:axId val="-200239309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003623032"/>
        <c:crosses val="autoZero"/>
        <c:crossBetween val="midCat"/>
      </c:valAx>
      <c:valAx>
        <c:axId val="-2003623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02393096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'P6_Kodi &amp; Kaia'!$J$2:$J$11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'P6_Kodi &amp; Kaia'!$K$2:$K$11</c:f>
              <c:numCache>
                <c:formatCode>General</c:formatCode>
                <c:ptCount val="10"/>
                <c:pt idx="0">
                  <c:v>125</c:v>
                </c:pt>
                <c:pt idx="1">
                  <c:v>75</c:v>
                </c:pt>
                <c:pt idx="2">
                  <c:v>200</c:v>
                </c:pt>
                <c:pt idx="3">
                  <c:v>175</c:v>
                </c:pt>
                <c:pt idx="4">
                  <c:v>0</c:v>
                </c:pt>
                <c:pt idx="5">
                  <c:v>65</c:v>
                </c:pt>
                <c:pt idx="6">
                  <c:v>90</c:v>
                </c:pt>
                <c:pt idx="7">
                  <c:v>100</c:v>
                </c:pt>
                <c:pt idx="8">
                  <c:v>165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9-4716-ABD0-AEA0400F07CA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Kaia'!$J$2:$J$11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'P6_Kodi &amp; Kaia'!$L$2:$L$11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9-4716-ABD0-AEA0400F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11816"/>
        <c:axId val="-2048155976"/>
      </c:scatterChart>
      <c:valAx>
        <c:axId val="213641181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048155976"/>
        <c:crosses val="autoZero"/>
        <c:crossBetween val="midCat"/>
      </c:valAx>
      <c:valAx>
        <c:axId val="-2048155976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2136411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22376158676399"/>
          <c:y val="0.21828908554572299"/>
          <c:w val="0.58529253463570197"/>
          <c:h val="0.62230088495575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'[1]Kodi &amp; Kaia'!$C$1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6A42-4853-9501-DA4A2769AC98}"/>
              </c:ext>
            </c:extLst>
          </c:dPt>
          <c:xVal>
            <c:numRef>
              <c:f>'P7_Dax &amp; Fiona'!$B$2:$B$11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'P7_Dax &amp; Fiona'!$C$2:$C$11</c:f>
              <c:numCache>
                <c:formatCode>General</c:formatCode>
                <c:ptCount val="10"/>
                <c:pt idx="0">
                  <c:v>16.666666666666664</c:v>
                </c:pt>
                <c:pt idx="1">
                  <c:v>18.333333333333332</c:v>
                </c:pt>
                <c:pt idx="2">
                  <c:v>13.333333333333334</c:v>
                </c:pt>
                <c:pt idx="3">
                  <c:v>0</c:v>
                </c:pt>
                <c:pt idx="4">
                  <c:v>46.666666666666664</c:v>
                </c:pt>
                <c:pt idx="5">
                  <c:v>50</c:v>
                </c:pt>
                <c:pt idx="6">
                  <c:v>53.333333333333336</c:v>
                </c:pt>
                <c:pt idx="7">
                  <c:v>45</c:v>
                </c:pt>
                <c:pt idx="8">
                  <c:v>75</c:v>
                </c:pt>
                <c:pt idx="9">
                  <c:v>38.333333333333336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2-4853-9501-DA4A2769AC98}"/>
            </c:ext>
          </c:extLst>
        </c:ser>
        <c:ser>
          <c:idx val="1"/>
          <c:order val="1"/>
          <c:tx>
            <c:strRef>
              <c:f>'[1]Kodi &amp; Kaia'!$D$1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3-6A42-4853-9501-DA4A2769AC98}"/>
              </c:ext>
            </c:extLst>
          </c:dPt>
          <c:xVal>
            <c:numRef>
              <c:f>'[1]Dax &amp; Fiona'!$B$2:$B$11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'P7_Dax &amp; Fiona'!$D$2:$D$11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23.333333333333332</c:v>
                </c:pt>
                <c:pt idx="9">
                  <c:v>48.333333333333336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2-4853-9501-DA4A2769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231480"/>
        <c:axId val="-2102443672"/>
      </c:scatterChart>
      <c:valAx>
        <c:axId val="-2002231480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2443672"/>
        <c:crosses val="autoZero"/>
        <c:crossBetween val="midCat"/>
      </c:valAx>
      <c:valAx>
        <c:axId val="-210244367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5-s intervals social play was observed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02231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74249975082196"/>
          <c:y val="0.301575267693308"/>
          <c:w val="0.24718155088208901"/>
          <c:h val="0.1254630339349170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'P7_Dax &amp; Fiona'!$M$2:$M$11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'P7_Dax &amp; Fiona'!$N$2:$N$11</c:f>
              <c:numCache>
                <c:formatCode>General</c:formatCode>
                <c:ptCount val="10"/>
                <c:pt idx="0">
                  <c:v>50</c:v>
                </c:pt>
                <c:pt idx="1">
                  <c:v>55</c:v>
                </c:pt>
                <c:pt idx="2">
                  <c:v>40</c:v>
                </c:pt>
                <c:pt idx="3">
                  <c:v>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135</c:v>
                </c:pt>
                <c:pt idx="8">
                  <c:v>225</c:v>
                </c:pt>
                <c:pt idx="9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4-43A2-B948-BABEC51F068B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'P7_Dax &amp; Fiona'!$M$2:$M$11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'P7_Dax &amp; Fiona'!$O$2:$O$11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</c:v>
                </c:pt>
                <c:pt idx="9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4-43A2-B948-BABEC51F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70376"/>
        <c:axId val="-2035309368"/>
      </c:scatterChart>
      <c:valAx>
        <c:axId val="-214047037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035309368"/>
        <c:crosses val="autoZero"/>
        <c:crossBetween val="midCat"/>
      </c:valAx>
      <c:valAx>
        <c:axId val="-2035309368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140470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MASON &amp; COFFEE</a:t>
            </a:r>
          </a:p>
        </c:rich>
      </c:tx>
      <c:layout>
        <c:manualLayout>
          <c:xMode val="edge"/>
          <c:yMode val="edge"/>
          <c:x val="0.235500145815106"/>
          <c:y val="4.07405949256343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111111111111"/>
          <c:y val="0.12537007874015699"/>
          <c:w val="0.77315944881889798"/>
          <c:h val="0.67185214348206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'[1]Kodi &amp; Kaia'!$C$1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015B-4220-8709-5663010EB502}"/>
              </c:ext>
            </c:extLst>
          </c:dPt>
          <c:xVal>
            <c:numRef>
              <c:f>'P8_Mason&amp;Coffee'!$B$2:$B$11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'P8_Mason&amp;Coffee'!$C$2:$C$11</c:f>
              <c:numCache>
                <c:formatCode>General</c:formatCode>
                <c:ptCount val="10"/>
                <c:pt idx="0">
                  <c:v>48</c:v>
                </c:pt>
                <c:pt idx="1">
                  <c:v>6</c:v>
                </c:pt>
                <c:pt idx="2">
                  <c:v>62</c:v>
                </c:pt>
                <c:pt idx="3">
                  <c:v>10</c:v>
                </c:pt>
                <c:pt idx="4">
                  <c:v>67</c:v>
                </c:pt>
                <c:pt idx="5">
                  <c:v>35</c:v>
                </c:pt>
                <c:pt idx="6">
                  <c:v>87</c:v>
                </c:pt>
                <c:pt idx="7">
                  <c:v>22</c:v>
                </c:pt>
                <c:pt idx="8">
                  <c:v>61</c:v>
                </c:pt>
                <c:pt idx="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B-4220-8709-5663010EB502}"/>
            </c:ext>
          </c:extLst>
        </c:ser>
        <c:ser>
          <c:idx val="1"/>
          <c:order val="1"/>
          <c:tx>
            <c:strRef>
              <c:f>'[1]Kodi &amp; Kaia'!$D$1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9525" cmpd="sng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015B-4220-8709-5663010EB502}"/>
              </c:ext>
            </c:extLst>
          </c:dPt>
          <c:xVal>
            <c:numRef>
              <c:f>'[1]Misha &amp; Houston'!$B$2:$B$11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'P8_Mason&amp;Coffee'!$D$2:$D$11</c:f>
              <c:numCache>
                <c:formatCode>General</c:formatCode>
                <c:ptCount val="10"/>
                <c:pt idx="0">
                  <c:v>13</c:v>
                </c:pt>
                <c:pt idx="1">
                  <c:v>0</c:v>
                </c:pt>
                <c:pt idx="2">
                  <c:v>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5B-4220-8709-5663010E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13416"/>
        <c:axId val="-2002165944"/>
      </c:scatterChart>
      <c:valAx>
        <c:axId val="-2103113416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84324365704287"/>
              <c:y val="0.89166666666666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02165944"/>
        <c:crosses val="autoZero"/>
        <c:crossBetween val="midCat"/>
      </c:valAx>
      <c:valAx>
        <c:axId val="-2002165944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103113416"/>
        <c:crosses val="autoZero"/>
        <c:crossBetween val="midCat"/>
      </c:valAx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/>
              <a:t>KOBE &amp; IAN</a:t>
            </a:r>
          </a:p>
        </c:rich>
      </c:tx>
      <c:layout>
        <c:manualLayout>
          <c:xMode val="edge"/>
          <c:yMode val="edge"/>
          <c:x val="0.30131197142023902"/>
          <c:y val="8.000437445319339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5"/>
          <c:y val="7.3147783610382003E-2"/>
          <c:w val="0.77733683289588795"/>
          <c:h val="0.68703740157480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'P1_Kobe&amp;Ian'!$B$1</c:f>
              <c:strCache>
                <c:ptCount val="1"/>
                <c:pt idx="0">
                  <c:v>SD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'P1_Kobe&amp;Ian'!$A$2:$A$11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'P1_Kobe&amp;Ian'!$B$2:$B$11</c:f>
              <c:numCache>
                <c:formatCode>General</c:formatCode>
                <c:ptCount val="10"/>
                <c:pt idx="0">
                  <c:v>234</c:v>
                </c:pt>
                <c:pt idx="1">
                  <c:v>225</c:v>
                </c:pt>
                <c:pt idx="2">
                  <c:v>229</c:v>
                </c:pt>
                <c:pt idx="3">
                  <c:v>148</c:v>
                </c:pt>
                <c:pt idx="4">
                  <c:v>46</c:v>
                </c:pt>
                <c:pt idx="5">
                  <c:v>202</c:v>
                </c:pt>
                <c:pt idx="6">
                  <c:v>93</c:v>
                </c:pt>
                <c:pt idx="7">
                  <c:v>3</c:v>
                </c:pt>
                <c:pt idx="8">
                  <c:v>8</c:v>
                </c:pt>
                <c:pt idx="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E-4661-9580-A6A6356B4F9D}"/>
            </c:ext>
          </c:extLst>
        </c:ser>
        <c:ser>
          <c:idx val="1"/>
          <c:order val="1"/>
          <c:tx>
            <c:strRef>
              <c:f>'P1_Kobe&amp;Ian'!$C$1</c:f>
              <c:strCache>
                <c:ptCount val="1"/>
                <c:pt idx="0">
                  <c:v>S-Delta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'P1_Kobe&amp;Ian'!$A$2:$A$11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'P1_Kobe&amp;Ian'!$C$2:$C$11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E-4661-9580-A6A6356B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71688"/>
        <c:axId val="-2002592920"/>
      </c:scatterChart>
      <c:valAx>
        <c:axId val="-2102771688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Session</a:t>
                </a:r>
              </a:p>
            </c:rich>
          </c:tx>
          <c:layout>
            <c:manualLayout>
              <c:xMode val="edge"/>
              <c:yMode val="edge"/>
              <c:x val="0.43926144648585602"/>
              <c:y val="0.856852143482064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02592920"/>
        <c:crosses val="autoZero"/>
        <c:crossBetween val="midCat"/>
      </c:valAx>
      <c:valAx>
        <c:axId val="-2002592920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2771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'P6_Kodi &amp; Kaia'!$J$2:$J$11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'P6_Kodi &amp; Kaia'!$K$2:$K$11</c:f>
              <c:numCache>
                <c:formatCode>General</c:formatCode>
                <c:ptCount val="10"/>
                <c:pt idx="0">
                  <c:v>125</c:v>
                </c:pt>
                <c:pt idx="1">
                  <c:v>75</c:v>
                </c:pt>
                <c:pt idx="2">
                  <c:v>200</c:v>
                </c:pt>
                <c:pt idx="3">
                  <c:v>175</c:v>
                </c:pt>
                <c:pt idx="4">
                  <c:v>0</c:v>
                </c:pt>
                <c:pt idx="5">
                  <c:v>65</c:v>
                </c:pt>
                <c:pt idx="6">
                  <c:v>90</c:v>
                </c:pt>
                <c:pt idx="7">
                  <c:v>100</c:v>
                </c:pt>
                <c:pt idx="8">
                  <c:v>165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3-4F89-9D47-50D884F25F61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Kaia'!$J$2:$J$11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'P6_Kodi &amp; Kaia'!$L$2:$L$11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3-4F89-9D47-50D884F2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209032"/>
        <c:axId val="2134468776"/>
      </c:scatterChart>
      <c:valAx>
        <c:axId val="-204820903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134468776"/>
        <c:crosses val="autoZero"/>
        <c:crossBetween val="midCat"/>
      </c:valAx>
      <c:valAx>
        <c:axId val="2134468776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048209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Averages!$P$35</c:f>
              <c:strCache>
                <c:ptCount val="1"/>
                <c:pt idx="0">
                  <c:v>SD (1-10)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Averages!$O$36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Averages!$P$36</c:f>
              <c:numCache>
                <c:formatCode>General</c:formatCode>
                <c:ptCount val="1"/>
                <c:pt idx="0">
                  <c:v>-14.454545454545455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6-4C04-AE7A-9A14731BC6C5}"/>
            </c:ext>
          </c:extLst>
        </c:ser>
        <c:ser>
          <c:idx val="1"/>
          <c:order val="1"/>
          <c:tx>
            <c:strRef>
              <c:f>Averages!$Q$35</c:f>
              <c:strCache>
                <c:ptCount val="1"/>
                <c:pt idx="0">
                  <c:v>S-Delta (1-10)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50.69"/>
          </c:errBars>
          <c:cat>
            <c:strRef>
              <c:f>Averages!$O$36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Averages!$Q$36</c:f>
              <c:numCache>
                <c:formatCode>General</c:formatCode>
                <c:ptCount val="1"/>
                <c:pt idx="0">
                  <c:v>24.90909090909091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6-4C04-AE7A-9A14731B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123147064"/>
        <c:axId val="-2002062984"/>
      </c:barChart>
      <c:catAx>
        <c:axId val="212314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02062984"/>
        <c:crosses val="autoZero"/>
        <c:auto val="1"/>
        <c:lblAlgn val="ctr"/>
        <c:lblOffset val="100"/>
        <c:noMultiLvlLbl val="0"/>
      </c:catAx>
      <c:valAx>
        <c:axId val="-2002062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(Final - Initial) Mean Difference in Social Play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1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'P9_Gunner&amp;Cato'!$C$2:$C$11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'P9_Gunner&amp;Cato'!$D$2:$D$11</c:f>
              <c:numCache>
                <c:formatCode>General</c:formatCode>
                <c:ptCount val="10"/>
                <c:pt idx="0">
                  <c:v>232</c:v>
                </c:pt>
                <c:pt idx="1">
                  <c:v>188</c:v>
                </c:pt>
                <c:pt idx="2">
                  <c:v>0</c:v>
                </c:pt>
                <c:pt idx="3">
                  <c:v>223</c:v>
                </c:pt>
                <c:pt idx="4">
                  <c:v>184</c:v>
                </c:pt>
                <c:pt idx="5">
                  <c:v>186</c:v>
                </c:pt>
                <c:pt idx="6">
                  <c:v>125</c:v>
                </c:pt>
                <c:pt idx="7">
                  <c:v>151</c:v>
                </c:pt>
                <c:pt idx="8">
                  <c:v>98</c:v>
                </c:pt>
                <c:pt idx="9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3-4D61-B176-76F160270600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'P9_Gunner&amp;Cato'!$C$2:$C$11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'P9_Gunner&amp;Cato'!$E$2:$E$11</c:f>
              <c:numCache>
                <c:formatCode>General</c:formatCode>
                <c:ptCount val="10"/>
                <c:pt idx="0">
                  <c:v>0</c:v>
                </c:pt>
                <c:pt idx="1">
                  <c:v>105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107</c:v>
                </c:pt>
                <c:pt idx="6">
                  <c:v>0</c:v>
                </c:pt>
                <c:pt idx="7">
                  <c:v>0</c:v>
                </c:pt>
                <c:pt idx="8">
                  <c:v>158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3-4D61-B176-76F16027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08808"/>
        <c:axId val="-2002210824"/>
      </c:scatterChart>
      <c:valAx>
        <c:axId val="213110880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002210824"/>
        <c:crosses val="autoZero"/>
        <c:crossBetween val="midCat"/>
      </c:valAx>
      <c:valAx>
        <c:axId val="-2002210824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2131108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'P10_Misha&amp;Houston'!$B$2:$B$11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'P11_Rev&amp;Blitz'!$C$2:$C$11</c:f>
              <c:numCache>
                <c:formatCode>General</c:formatCode>
                <c:ptCount val="10"/>
                <c:pt idx="0">
                  <c:v>43</c:v>
                </c:pt>
                <c:pt idx="1">
                  <c:v>152</c:v>
                </c:pt>
                <c:pt idx="2">
                  <c:v>31</c:v>
                </c:pt>
                <c:pt idx="3">
                  <c:v>32</c:v>
                </c:pt>
                <c:pt idx="4">
                  <c:v>18</c:v>
                </c:pt>
                <c:pt idx="5">
                  <c:v>96</c:v>
                </c:pt>
                <c:pt idx="6">
                  <c:v>100</c:v>
                </c:pt>
                <c:pt idx="7">
                  <c:v>78</c:v>
                </c:pt>
                <c:pt idx="8">
                  <c:v>156</c:v>
                </c:pt>
                <c:pt idx="9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68B-AA21-4C0D88045578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'P10_Misha&amp;Houston'!$D$2:$D$11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6-468B-AA21-4C0D8804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609448"/>
        <c:axId val="-2140528728"/>
      </c:scatterChart>
      <c:valAx>
        <c:axId val="-203560944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28728"/>
        <c:crosses val="autoZero"/>
        <c:crossBetween val="midCat"/>
      </c:valAx>
      <c:valAx>
        <c:axId val="-2140528728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035609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'P11_Rev&amp;Blitz'!$C$2:$C$11</c:f>
              <c:numCache>
                <c:formatCode>General</c:formatCode>
                <c:ptCount val="10"/>
                <c:pt idx="0">
                  <c:v>43</c:v>
                </c:pt>
                <c:pt idx="1">
                  <c:v>152</c:v>
                </c:pt>
                <c:pt idx="2">
                  <c:v>31</c:v>
                </c:pt>
                <c:pt idx="3">
                  <c:v>32</c:v>
                </c:pt>
                <c:pt idx="4">
                  <c:v>18</c:v>
                </c:pt>
                <c:pt idx="5">
                  <c:v>96</c:v>
                </c:pt>
                <c:pt idx="6">
                  <c:v>100</c:v>
                </c:pt>
                <c:pt idx="7">
                  <c:v>78</c:v>
                </c:pt>
                <c:pt idx="8">
                  <c:v>156</c:v>
                </c:pt>
                <c:pt idx="9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4-4881-B316-BD22DE5B63A1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'P11_Rev&amp;Blitz'!$D$2:$D$11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4-4881-B316-BD22DE5B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87800"/>
        <c:axId val="-2140369992"/>
      </c:scatterChart>
      <c:valAx>
        <c:axId val="-2141087800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69992"/>
        <c:crosses val="autoZero"/>
        <c:crossBetween val="midCat"/>
      </c:valAx>
      <c:valAx>
        <c:axId val="-2140369992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141087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'P12_Jude&amp;Luna'!$B$2:$B$11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'P12_Jude&amp;Luna'!$C$2:$C$11</c:f>
              <c:numCache>
                <c:formatCode>General</c:formatCode>
                <c:ptCount val="10"/>
                <c:pt idx="0">
                  <c:v>154</c:v>
                </c:pt>
                <c:pt idx="1">
                  <c:v>25</c:v>
                </c:pt>
                <c:pt idx="2">
                  <c:v>172</c:v>
                </c:pt>
                <c:pt idx="3">
                  <c:v>146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C-490F-B20B-1CD0C3FF326C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'P12_Jude&amp;Luna'!$B$2:$B$11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'P12_Jude&amp;Luna'!$D$2:$D$11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C-490F-B20B-1CD0C3FF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817416"/>
        <c:axId val="-2140450152"/>
      </c:scatterChart>
      <c:valAx>
        <c:axId val="-210481741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450152"/>
        <c:crosses val="autoZero"/>
        <c:crossBetween val="midCat"/>
      </c:valAx>
      <c:valAx>
        <c:axId val="-2140450152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104817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49850763239"/>
          <c:y val="4.8327137546468397E-2"/>
          <c:w val="0.82471403394070297"/>
          <c:h val="0.845204460966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Averages!$T$37</c:f>
              <c:strCache>
                <c:ptCount val="1"/>
                <c:pt idx="0">
                  <c:v>Available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80.349999999999994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Averages!$T$38</c:f>
              <c:numCache>
                <c:formatCode>General</c:formatCode>
                <c:ptCount val="1"/>
                <c:pt idx="0">
                  <c:v>102.30555555555556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3-4A2B-A7D8-C16E835F4C4C}"/>
            </c:ext>
          </c:extLst>
        </c:ser>
        <c:ser>
          <c:idx val="1"/>
          <c:order val="1"/>
          <c:tx>
            <c:strRef>
              <c:f>Averages!$U$37</c:f>
              <c:strCache>
                <c:ptCount val="1"/>
                <c:pt idx="0">
                  <c:v>SD(10)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78.78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Averages!$U$38</c:f>
              <c:numCache>
                <c:formatCode>General</c:formatCode>
                <c:ptCount val="1"/>
                <c:pt idx="0">
                  <c:v>76.222222222222229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3-4A2B-A7D8-C16E835F4C4C}"/>
            </c:ext>
          </c:extLst>
        </c:ser>
        <c:ser>
          <c:idx val="2"/>
          <c:order val="2"/>
          <c:tx>
            <c:strRef>
              <c:f>Averages!$V$37</c:f>
              <c:strCache>
                <c:ptCount val="1"/>
                <c:pt idx="0">
                  <c:v>Unavailable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3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Averages!$V$38</c:f>
              <c:numCache>
                <c:formatCode>General</c:formatCode>
                <c:ptCount val="1"/>
                <c:pt idx="0">
                  <c:v>1.0833333333333333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3-4A2B-A7D8-C16E835F4C4C}"/>
            </c:ext>
          </c:extLst>
        </c:ser>
        <c:ser>
          <c:idx val="3"/>
          <c:order val="3"/>
          <c:tx>
            <c:strRef>
              <c:f>Averages!$W$37</c:f>
              <c:strCache>
                <c:ptCount val="1"/>
                <c:pt idx="0">
                  <c:v>No Attention10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48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Averages!$W$38</c:f>
              <c:numCache>
                <c:formatCode>General</c:formatCode>
                <c:ptCount val="1"/>
                <c:pt idx="0">
                  <c:v>23.916666666666668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3-4A2B-A7D8-C16E835F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0"/>
        <c:axId val="2131019608"/>
        <c:axId val="2131249608"/>
      </c:barChart>
      <c:catAx>
        <c:axId val="213101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2131249608"/>
        <c:crosses val="autoZero"/>
        <c:auto val="1"/>
        <c:lblAlgn val="ctr"/>
        <c:lblOffset val="100"/>
        <c:noMultiLvlLbl val="0"/>
      </c:catAx>
      <c:valAx>
        <c:axId val="2131249608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133574007220201E-2"/>
              <c:y val="0.12607674969996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019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977074390971895"/>
          <c:y val="0.16815619237186399"/>
          <c:w val="0.14939893118053399"/>
          <c:h val="0.15811140707783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49850763239"/>
          <c:y val="4.8327137546468397E-2"/>
          <c:w val="0.82471403394070297"/>
          <c:h val="0.845204460966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Averages!$T$37</c:f>
              <c:strCache>
                <c:ptCount val="1"/>
                <c:pt idx="0">
                  <c:v>Available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80.349999999999994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Averages!$T$38</c:f>
              <c:numCache>
                <c:formatCode>General</c:formatCode>
                <c:ptCount val="1"/>
                <c:pt idx="0">
                  <c:v>102.30555555555556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7-486C-A988-D0437B24BB02}"/>
            </c:ext>
          </c:extLst>
        </c:ser>
        <c:ser>
          <c:idx val="1"/>
          <c:order val="1"/>
          <c:tx>
            <c:strRef>
              <c:f>Averages!$U$37</c:f>
              <c:strCache>
                <c:ptCount val="1"/>
                <c:pt idx="0">
                  <c:v>SD(10)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3.75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Averages!$U$43</c:f>
              <c:numCache>
                <c:formatCode>General</c:formatCode>
                <c:ptCount val="1"/>
                <c:pt idx="0">
                  <c:v>1.0833330000000001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7-486C-A988-D0437B24BB02}"/>
            </c:ext>
          </c:extLst>
        </c:ser>
        <c:ser>
          <c:idx val="2"/>
          <c:order val="2"/>
          <c:tx>
            <c:strRef>
              <c:f>Averages!$V$37</c:f>
              <c:strCache>
                <c:ptCount val="1"/>
                <c:pt idx="0">
                  <c:v>Unavailable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78.78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Averages!$V$43</c:f>
              <c:numCache>
                <c:formatCode>General</c:formatCode>
                <c:ptCount val="1"/>
                <c:pt idx="0">
                  <c:v>76.222222222222229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7-486C-A988-D0437B24BB02}"/>
            </c:ext>
          </c:extLst>
        </c:ser>
        <c:ser>
          <c:idx val="3"/>
          <c:order val="3"/>
          <c:tx>
            <c:strRef>
              <c:f>Averages!$W$37</c:f>
              <c:strCache>
                <c:ptCount val="1"/>
                <c:pt idx="0">
                  <c:v>No Attention10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48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Averages!$W$38</c:f>
              <c:numCache>
                <c:formatCode>General</c:formatCode>
                <c:ptCount val="1"/>
                <c:pt idx="0">
                  <c:v>23.916666666666668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7-486C-A988-D0437B24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0"/>
        <c:axId val="-2002047304"/>
        <c:axId val="-2003720312"/>
      </c:barChart>
      <c:catAx>
        <c:axId val="-200204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03720312"/>
        <c:crosses val="autoZero"/>
        <c:auto val="1"/>
        <c:lblAlgn val="ctr"/>
        <c:lblOffset val="100"/>
        <c:noMultiLvlLbl val="0"/>
      </c:catAx>
      <c:valAx>
        <c:axId val="-2003720312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133574007220201E-2"/>
              <c:y val="0.12607674969996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020473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977074390971895"/>
          <c:y val="0.16815619237186399"/>
          <c:w val="0.14939893118053399"/>
          <c:h val="0.15811140707783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KOBE &amp; IAN</a:t>
            </a:r>
          </a:p>
        </c:rich>
      </c:tx>
      <c:layout>
        <c:manualLayout>
          <c:xMode val="edge"/>
          <c:yMode val="edge"/>
          <c:x val="0.13464518374052201"/>
          <c:y val="3.577817531305899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'P1_Kobe&amp;Ian'!$B$1</c:f>
              <c:strCache>
                <c:ptCount val="1"/>
                <c:pt idx="0">
                  <c:v>SD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'P1_Kobe&amp;Ian'!$A$2:$A$11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'P1_Kobe&amp;Ian'!$B$2:$B$11</c:f>
              <c:numCache>
                <c:formatCode>General</c:formatCode>
                <c:ptCount val="10"/>
                <c:pt idx="0">
                  <c:v>234</c:v>
                </c:pt>
                <c:pt idx="1">
                  <c:v>225</c:v>
                </c:pt>
                <c:pt idx="2">
                  <c:v>229</c:v>
                </c:pt>
                <c:pt idx="3">
                  <c:v>148</c:v>
                </c:pt>
                <c:pt idx="4">
                  <c:v>46</c:v>
                </c:pt>
                <c:pt idx="5">
                  <c:v>202</c:v>
                </c:pt>
                <c:pt idx="6">
                  <c:v>93</c:v>
                </c:pt>
                <c:pt idx="7">
                  <c:v>3</c:v>
                </c:pt>
                <c:pt idx="8">
                  <c:v>8</c:v>
                </c:pt>
                <c:pt idx="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6-45A1-86C0-1C9FD82B09FC}"/>
            </c:ext>
          </c:extLst>
        </c:ser>
        <c:ser>
          <c:idx val="1"/>
          <c:order val="1"/>
          <c:tx>
            <c:strRef>
              <c:f>'P1_Kobe&amp;Ian'!$C$1</c:f>
              <c:strCache>
                <c:ptCount val="1"/>
                <c:pt idx="0">
                  <c:v>S-Delta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'P1_Kobe&amp;Ian'!$A$2:$A$11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'P1_Kobe&amp;Ian'!$C$2:$C$11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6-45A1-86C0-1C9FD82B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315992"/>
        <c:axId val="-2102620328"/>
      </c:scatterChart>
      <c:valAx>
        <c:axId val="-200331599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2620328"/>
        <c:crosses val="autoZero"/>
        <c:crossBetween val="midCat"/>
      </c:valAx>
      <c:valAx>
        <c:axId val="-210262032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2.1388670166229199E-2"/>
              <c:y val="0.16731809565471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03315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'P2_Sally&amp;Vanya'!$B$1</c:f>
              <c:strCache>
                <c:ptCount val="1"/>
                <c:pt idx="0">
                  <c:v>Percent of Scored Intervals in SD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4E7-49FD-B39F-C4638C0AEF95}"/>
              </c:ext>
            </c:extLst>
          </c:dPt>
          <c:dPt>
            <c:idx val="7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4E7-49FD-B39F-C4638C0AEF95}"/>
              </c:ext>
            </c:extLst>
          </c:dPt>
          <c:xVal>
            <c:numRef>
              <c:f>'P2_Sally&amp;Vanya'!$A$2:$A$11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'P2_Sally&amp;Vanya'!$B$2:$B$11</c:f>
              <c:numCache>
                <c:formatCode>General</c:formatCode>
                <c:ptCount val="10"/>
                <c:pt idx="0">
                  <c:v>50</c:v>
                </c:pt>
                <c:pt idx="1">
                  <c:v>49</c:v>
                </c:pt>
                <c:pt idx="2">
                  <c:v>45</c:v>
                </c:pt>
                <c:pt idx="3">
                  <c:v>66</c:v>
                </c:pt>
                <c:pt idx="4">
                  <c:v>45</c:v>
                </c:pt>
                <c:pt idx="5">
                  <c:v>45</c:v>
                </c:pt>
                <c:pt idx="6">
                  <c:v>23.333333333333332</c:v>
                </c:pt>
                <c:pt idx="7">
                  <c:v>58.333333333333336</c:v>
                </c:pt>
                <c:pt idx="8">
                  <c:v>0</c:v>
                </c:pt>
                <c:pt idx="9">
                  <c:v>21.666666666666668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E7-49FD-B39F-C4638C0AEF95}"/>
            </c:ext>
          </c:extLst>
        </c:ser>
        <c:ser>
          <c:idx val="1"/>
          <c:order val="1"/>
          <c:tx>
            <c:strRef>
              <c:f>'P2_Sally&amp;Vanya'!$C$1</c:f>
              <c:strCache>
                <c:ptCount val="1"/>
                <c:pt idx="0">
                  <c:v>Percent of Scored Intervals in S-delta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  <a:prstDash val="sysDash"/>
              </a:ln>
            </c:spPr>
          </c:marker>
          <c:dPt>
            <c:idx val="3"/>
            <c:bubble3D val="0"/>
            <c:spPr>
              <a:ln w="25400"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6-64E7-49FD-B39F-C4638C0AEF95}"/>
              </c:ext>
            </c:extLst>
          </c:dPt>
          <c:dPt>
            <c:idx val="7"/>
            <c:bubble3D val="0"/>
            <c:spPr>
              <a:ln w="25400"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8-64E7-49FD-B39F-C4638C0AEF95}"/>
              </c:ext>
            </c:extLst>
          </c:dPt>
          <c:xVal>
            <c:numRef>
              <c:f>'P2_Sally&amp;Vanya'!$A$2:$A$11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'P2_Sally&amp;Vanya'!$C$2:$C$11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90</c:v>
                </c:pt>
                <c:pt idx="4">
                  <c:v>0</c:v>
                </c:pt>
                <c:pt idx="5">
                  <c:v>46.666666666666664</c:v>
                </c:pt>
                <c:pt idx="6">
                  <c:v>43.333333333333336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E7-49FD-B39F-C4638C0AEF95}"/>
            </c:ext>
          </c:extLst>
        </c:ser>
        <c:ser>
          <c:idx val="2"/>
          <c:order val="2"/>
          <c:tx>
            <c:v>daybreak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Pt>
            <c:idx val="2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0B-64E7-49FD-B39F-C4638C0AEF95}"/>
              </c:ext>
            </c:extLst>
          </c:dPt>
          <c:xVal>
            <c:numRef>
              <c:f>'P2_Sally&amp;Vanya'!$F$2:$F$5</c:f>
              <c:numCache>
                <c:formatCode>General</c:formatCode>
                <c:ptCount val="4"/>
                <c:pt idx="0">
                  <c:v>3.5</c:v>
                </c:pt>
                <c:pt idx="1">
                  <c:v>3.5</c:v>
                </c:pt>
                <c:pt idx="2">
                  <c:v>7.5</c:v>
                </c:pt>
                <c:pt idx="3">
                  <c:v>7.5</c:v>
                </c:pt>
              </c:numCache>
            </c:numRef>
          </c:xVal>
          <c:yVal>
            <c:numRef>
              <c:f>'P2_Sally&amp;Vanya'!$G$2:$G$5</c:f>
              <c:numCache>
                <c:formatCode>General</c:formatCode>
                <c:ptCount val="4"/>
                <c:pt idx="0">
                  <c:v>0</c:v>
                </c:pt>
                <c:pt idx="1">
                  <c:v>110</c:v>
                </c:pt>
                <c:pt idx="2">
                  <c:v>0</c:v>
                </c:pt>
                <c:pt idx="3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E7-49FD-B39F-C4638C0A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870040"/>
        <c:axId val="-2049357848"/>
      </c:scatterChart>
      <c:valAx>
        <c:axId val="-2049870040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9357848"/>
        <c:crosses val="autoZero"/>
        <c:crossBetween val="midCat"/>
        <c:majorUnit val="1"/>
      </c:valAx>
      <c:valAx>
        <c:axId val="-204935784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9870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'P2_Sally&amp;Vanya'!$I$2:$I$11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'P2_Sally&amp;Vanya'!$J$2:$J$11</c:f>
              <c:numCache>
                <c:formatCode>General</c:formatCode>
                <c:ptCount val="10"/>
                <c:pt idx="0">
                  <c:v>150</c:v>
                </c:pt>
                <c:pt idx="1">
                  <c:v>145</c:v>
                </c:pt>
                <c:pt idx="2">
                  <c:v>135</c:v>
                </c:pt>
                <c:pt idx="3">
                  <c:v>200</c:v>
                </c:pt>
                <c:pt idx="4">
                  <c:v>135</c:v>
                </c:pt>
                <c:pt idx="5">
                  <c:v>134</c:v>
                </c:pt>
                <c:pt idx="6">
                  <c:v>70</c:v>
                </c:pt>
                <c:pt idx="7">
                  <c:v>175</c:v>
                </c:pt>
                <c:pt idx="8">
                  <c:v>0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5-46E3-A1AA-A581519DC48A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'P2_Sally&amp;Vanya'!$K$2:$K$11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220</c:v>
                </c:pt>
                <c:pt idx="3">
                  <c:v>270</c:v>
                </c:pt>
                <c:pt idx="4">
                  <c:v>0</c:v>
                </c:pt>
                <c:pt idx="5">
                  <c:v>140</c:v>
                </c:pt>
                <c:pt idx="6">
                  <c:v>130</c:v>
                </c:pt>
                <c:pt idx="7">
                  <c:v>240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5-46E3-A1AA-A581519D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46296"/>
        <c:axId val="-2002472328"/>
      </c:scatterChart>
      <c:valAx>
        <c:axId val="-210134629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002472328"/>
        <c:crosses val="autoZero"/>
        <c:crossBetween val="midCat"/>
      </c:valAx>
      <c:valAx>
        <c:axId val="-2002472328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101346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'[1]Rocky &amp; Oaky'!$C$1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2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30EE-42C5-9880-1C9DB82E72D7}"/>
              </c:ext>
            </c:extLst>
          </c:dPt>
          <c:dPt>
            <c:idx val="5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30EE-42C5-9880-1C9DB82E72D7}"/>
              </c:ext>
            </c:extLst>
          </c:dPt>
          <c:dPt>
            <c:idx val="8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5-30EE-42C5-9880-1C9DB82E72D7}"/>
              </c:ext>
            </c:extLst>
          </c:dPt>
          <c:xVal>
            <c:numRef>
              <c:f>'[1]Rocky &amp; Oaky'!$B$2:$B$11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'[1]Rocky &amp; Oaky'!$C$2:$C$11</c:f>
              <c:numCache>
                <c:formatCode>General</c:formatCode>
                <c:ptCount val="10"/>
                <c:pt idx="0">
                  <c:v>16.666666666666664</c:v>
                </c:pt>
                <c:pt idx="1">
                  <c:v>5</c:v>
                </c:pt>
                <c:pt idx="2">
                  <c:v>21.666666666666668</c:v>
                </c:pt>
                <c:pt idx="3">
                  <c:v>68.333333333333329</c:v>
                </c:pt>
                <c:pt idx="4">
                  <c:v>16.666666666666664</c:v>
                </c:pt>
                <c:pt idx="5">
                  <c:v>86.666666666666671</c:v>
                </c:pt>
                <c:pt idx="6">
                  <c:v>53.333333333333336</c:v>
                </c:pt>
                <c:pt idx="7">
                  <c:v>30</c:v>
                </c:pt>
                <c:pt idx="8">
                  <c:v>46.666666666666664</c:v>
                </c:pt>
                <c:pt idx="9">
                  <c:v>61.666666666666671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EE-42C5-9880-1C9DB82E72D7}"/>
            </c:ext>
          </c:extLst>
        </c:ser>
        <c:ser>
          <c:idx val="1"/>
          <c:order val="1"/>
          <c:tx>
            <c:strRef>
              <c:f>'[1]Rocky &amp; Oaky'!$D$1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'[1]Rocky &amp; Oaky'!$B$2:$B$11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'[1]Rocky &amp; Oaky'!$D$2:$D$11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EE-42C5-9880-1C9DB82E72D7}"/>
            </c:ext>
          </c:extLst>
        </c:ser>
        <c:ser>
          <c:idx val="2"/>
          <c:order val="2"/>
          <c:tx>
            <c:v>daybreaks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2"/>
            <c:bubble3D val="0"/>
            <c:spPr>
              <a:ln w="25400"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9-30EE-42C5-9880-1C9DB82E72D7}"/>
              </c:ext>
            </c:extLst>
          </c:dPt>
          <c:dPt>
            <c:idx val="4"/>
            <c:bubble3D val="0"/>
            <c:spPr>
              <a:ln w="25400"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B-30EE-42C5-9880-1C9DB82E72D7}"/>
              </c:ext>
            </c:extLst>
          </c:dPt>
          <c:xVal>
            <c:numRef>
              <c:f>'[1]Rocky &amp; Oaky'!$F$2:$F$7</c:f>
              <c:numCache>
                <c:formatCode>General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5.5</c:v>
                </c:pt>
                <c:pt idx="3">
                  <c:v>5.5</c:v>
                </c:pt>
                <c:pt idx="4">
                  <c:v>8.5</c:v>
                </c:pt>
                <c:pt idx="5">
                  <c:v>8.5</c:v>
                </c:pt>
              </c:numCache>
            </c:numRef>
          </c:xVal>
          <c:yVal>
            <c:numRef>
              <c:f>'[1]Rocky &amp; Oaky'!$G$2:$G$7</c:f>
              <c:numCache>
                <c:formatCode>General</c:formatCode>
                <c:ptCount val="6"/>
                <c:pt idx="0">
                  <c:v>0</c:v>
                </c:pt>
                <c:pt idx="1">
                  <c:v>110</c:v>
                </c:pt>
                <c:pt idx="2">
                  <c:v>0</c:v>
                </c:pt>
                <c:pt idx="3">
                  <c:v>110</c:v>
                </c:pt>
                <c:pt idx="4">
                  <c:v>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EE-42C5-9880-1C9DB82E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549272"/>
        <c:axId val="-2101331864"/>
      </c:scatterChart>
      <c:valAx>
        <c:axId val="-200254927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331864"/>
        <c:crosses val="autoZero"/>
        <c:crossBetween val="midCat"/>
      </c:valAx>
      <c:valAx>
        <c:axId val="-210133186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5-s intervals play occurred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02549272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aseline="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899"/>
          <c:y val="0.125"/>
          <c:w val="0.71054155730533697"/>
          <c:h val="0.74814814814814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'P3_Rocky&amp;Oaky'!$J$2:$J$11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'P3_Rocky&amp;Oaky'!$K$2:$K$11</c:f>
              <c:numCache>
                <c:formatCode>General</c:formatCode>
                <c:ptCount val="10"/>
                <c:pt idx="0">
                  <c:v>50</c:v>
                </c:pt>
                <c:pt idx="1">
                  <c:v>15</c:v>
                </c:pt>
                <c:pt idx="2">
                  <c:v>65</c:v>
                </c:pt>
                <c:pt idx="3">
                  <c:v>205</c:v>
                </c:pt>
                <c:pt idx="4">
                  <c:v>50</c:v>
                </c:pt>
                <c:pt idx="5">
                  <c:v>260</c:v>
                </c:pt>
                <c:pt idx="6">
                  <c:v>160</c:v>
                </c:pt>
                <c:pt idx="7">
                  <c:v>90</c:v>
                </c:pt>
                <c:pt idx="8">
                  <c:v>140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D-45BC-9C3D-8EB1B3C6E619}"/>
            </c:ext>
          </c:extLst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'P3_Rocky&amp;Oaky'!$L$2:$L$11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D-45BC-9C3D-8EB1B3C6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760872"/>
        <c:axId val="-2102994664"/>
      </c:scatterChart>
      <c:valAx>
        <c:axId val="-204876087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-2102994664"/>
        <c:crosses val="autoZero"/>
        <c:crossBetween val="midCat"/>
      </c:valAx>
      <c:valAx>
        <c:axId val="-2102994664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-2048760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22</xdr:row>
      <xdr:rowOff>50800</xdr:rowOff>
    </xdr:from>
    <xdr:to>
      <xdr:col>5</xdr:col>
      <xdr:colOff>165100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34</xdr:row>
      <xdr:rowOff>88900</xdr:rowOff>
    </xdr:from>
    <xdr:to>
      <xdr:col>5</xdr:col>
      <xdr:colOff>63500</xdr:colOff>
      <xdr:row>35</xdr:row>
      <xdr:rowOff>165100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206500" y="6565900"/>
          <a:ext cx="35941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latin typeface="Arial"/>
              <a:cs typeface="Arial"/>
            </a:rPr>
            <a:t>         </a:t>
          </a:r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Available      Attention Unavailable</a:t>
          </a:r>
          <a:endParaRPr lang="en-US" sz="1100"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12700</xdr:colOff>
      <xdr:row>39</xdr:row>
      <xdr:rowOff>114300</xdr:rowOff>
    </xdr:from>
    <xdr:to>
      <xdr:col>17</xdr:col>
      <xdr:colOff>431800</xdr:colOff>
      <xdr:row>54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469900</xdr:colOff>
      <xdr:row>25</xdr:row>
      <xdr:rowOff>88900</xdr:rowOff>
    </xdr:from>
    <xdr:to>
      <xdr:col>32</xdr:col>
      <xdr:colOff>76200</xdr:colOff>
      <xdr:row>43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533400</xdr:colOff>
      <xdr:row>44</xdr:row>
      <xdr:rowOff>177800</xdr:rowOff>
    </xdr:from>
    <xdr:to>
      <xdr:col>32</xdr:col>
      <xdr:colOff>139700</xdr:colOff>
      <xdr:row>62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101600</xdr:rowOff>
    </xdr:from>
    <xdr:to>
      <xdr:col>9</xdr:col>
      <xdr:colOff>596900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13</xdr:row>
      <xdr:rowOff>12700</xdr:rowOff>
    </xdr:from>
    <xdr:to>
      <xdr:col>5</xdr:col>
      <xdr:colOff>177800</xdr:colOff>
      <xdr:row>16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90500" y="2489200"/>
          <a:ext cx="411480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DAX</a:t>
          </a:r>
          <a:r>
            <a:rPr lang="en-US" sz="1400" b="1" i="1" baseline="0">
              <a:latin typeface="Arial"/>
              <a:cs typeface="Arial"/>
            </a:rPr>
            <a:t> &amp; FIONA (EXPERIMENT 1)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13</xdr:row>
      <xdr:rowOff>0</xdr:rowOff>
    </xdr:from>
    <xdr:to>
      <xdr:col>15</xdr:col>
      <xdr:colOff>635000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13</xdr:row>
      <xdr:rowOff>63500</xdr:rowOff>
    </xdr:from>
    <xdr:to>
      <xdr:col>15</xdr:col>
      <xdr:colOff>279400</xdr:colOff>
      <xdr:row>14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11379200" y="2540000"/>
          <a:ext cx="12827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DAX &amp; FIONA</a:t>
          </a: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13</xdr:row>
      <xdr:rowOff>38100</xdr:rowOff>
    </xdr:from>
    <xdr:to>
      <xdr:col>5</xdr:col>
      <xdr:colOff>596900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13</xdr:row>
      <xdr:rowOff>114300</xdr:rowOff>
    </xdr:from>
    <xdr:to>
      <xdr:col>2</xdr:col>
      <xdr:colOff>685800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8</xdr:col>
      <xdr:colOff>635000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647700</xdr:colOff>
      <xdr:row>13</xdr:row>
      <xdr:rowOff>63500</xdr:rowOff>
    </xdr:from>
    <xdr:to>
      <xdr:col>8</xdr:col>
      <xdr:colOff>596900</xdr:colOff>
      <xdr:row>16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5600700" y="2540000"/>
          <a:ext cx="1600200" cy="5334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MISHA &amp; HOUSTON</a:t>
          </a:r>
        </a:p>
        <a:p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10</xdr:col>
      <xdr:colOff>635000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8</xdr:row>
      <xdr:rowOff>63500</xdr:rowOff>
    </xdr:from>
    <xdr:to>
      <xdr:col>10</xdr:col>
      <xdr:colOff>622300</xdr:colOff>
      <xdr:row>9</xdr:row>
      <xdr:rowOff>127000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7251700" y="1587500"/>
          <a:ext cx="1625600" cy="2540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GUNNER &amp; CATO</a:t>
          </a:r>
        </a:p>
        <a:p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7</xdr:col>
      <xdr:colOff>635000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4</xdr:row>
      <xdr:rowOff>107950</xdr:rowOff>
    </xdr:from>
    <xdr:to>
      <xdr:col>7</xdr:col>
      <xdr:colOff>635000</xdr:colOff>
      <xdr:row>7</xdr:row>
      <xdr:rowOff>12700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4648200" y="869950"/>
          <a:ext cx="1765300" cy="47625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"/>
              <a:cs typeface="Times"/>
            </a:rPr>
            <a:t>MISHA &amp; HOUSTON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184150</xdr:rowOff>
    </xdr:from>
    <xdr:to>
      <xdr:col>8</xdr:col>
      <xdr:colOff>152400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101600</xdr:rowOff>
    </xdr:from>
    <xdr:to>
      <xdr:col>7</xdr:col>
      <xdr:colOff>419100</xdr:colOff>
      <xdr:row>5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991100" y="863600"/>
          <a:ext cx="1206500" cy="2540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"/>
              <a:cs typeface="Times"/>
            </a:rPr>
            <a:t>REV &amp; BLITZ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10</xdr:col>
      <xdr:colOff>635000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7</xdr:row>
      <xdr:rowOff>95250</xdr:rowOff>
    </xdr:from>
    <xdr:to>
      <xdr:col>10</xdr:col>
      <xdr:colOff>457200</xdr:colOff>
      <xdr:row>9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15200" y="1428750"/>
          <a:ext cx="1397000" cy="33655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"/>
              <a:cs typeface="Times"/>
            </a:rPr>
            <a:t>JUDE &amp; LUNA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0.11294</cdr:x>
      <cdr:y>0.90335</cdr:y>
    </cdr:from>
    <cdr:to>
      <cdr:x>0.96209</cdr:x>
      <cdr:y>0.98141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4632" y="3086100"/>
          <a:ext cx="5974468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>
              <a:latin typeface="Arial"/>
              <a:cs typeface="Arial"/>
            </a:rPr>
            <a:t>               Initial Session	Final Session	          Initial Session           Final Session</a:t>
          </a:r>
          <a:endParaRPr lang="en-US" sz="1100">
            <a:latin typeface="Arial"/>
            <a:cs typeface="Arial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0.11294</cdr:x>
      <cdr:y>0.90335</cdr:y>
    </cdr:from>
    <cdr:to>
      <cdr:x>0.96209</cdr:x>
      <cdr:y>0.98141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4632" y="3086100"/>
          <a:ext cx="5974468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>
              <a:latin typeface="Arial"/>
              <a:cs typeface="Arial"/>
            </a:rPr>
            <a:t>               Initial Session	Initial Session	          Final Session           Final Session</a:t>
          </a:r>
          <a:endParaRPr lang="en-US" sz="1100"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12</xdr:row>
      <xdr:rowOff>19050</xdr:rowOff>
    </xdr:from>
    <xdr:to>
      <xdr:col>5</xdr:col>
      <xdr:colOff>654050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82550</xdr:rowOff>
    </xdr:from>
    <xdr:to>
      <xdr:col>6</xdr:col>
      <xdr:colOff>609600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12</xdr:col>
      <xdr:colOff>635000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15</xdr:row>
      <xdr:rowOff>63500</xdr:rowOff>
    </xdr:from>
    <xdr:to>
      <xdr:col>12</xdr:col>
      <xdr:colOff>571500</xdr:colOff>
      <xdr:row>16</xdr:row>
      <xdr:rowOff>139700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0490200" y="2921000"/>
          <a:ext cx="15748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SALLY</a:t>
          </a:r>
          <a:r>
            <a:rPr lang="en-US" sz="1200" b="1" u="none" baseline="0">
              <a:latin typeface="Times"/>
              <a:cs typeface="Times"/>
            </a:rPr>
            <a:t> &amp; VANYA</a:t>
          </a:r>
          <a:endParaRPr lang="en-US" sz="1200" b="1" u="none">
            <a:latin typeface="Times"/>
            <a:cs typeface="Times"/>
          </a:endParaRP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190500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635000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15</xdr:row>
      <xdr:rowOff>63500</xdr:rowOff>
    </xdr:from>
    <xdr:to>
      <xdr:col>13</xdr:col>
      <xdr:colOff>571500</xdr:colOff>
      <xdr:row>16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2636500" y="2921000"/>
          <a:ext cx="15748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ROCKY &amp; OAKY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12</xdr:row>
      <xdr:rowOff>127000</xdr:rowOff>
    </xdr:from>
    <xdr:to>
      <xdr:col>8</xdr:col>
      <xdr:colOff>228600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13</xdr:col>
      <xdr:colOff>635000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63500</xdr:rowOff>
    </xdr:from>
    <xdr:to>
      <xdr:col>13</xdr:col>
      <xdr:colOff>571500</xdr:colOff>
      <xdr:row>18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9728200" y="3302000"/>
          <a:ext cx="15748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ROSIE</a:t>
          </a:r>
          <a:r>
            <a:rPr lang="en-US" sz="1200" b="1" u="none" baseline="0">
              <a:latin typeface="Times"/>
              <a:cs typeface="Times"/>
            </a:rPr>
            <a:t> &amp; CARLIE</a:t>
          </a:r>
          <a:endParaRPr lang="en-US" sz="1200" b="1" u="none">
            <a:latin typeface="Times"/>
            <a:cs typeface="Times"/>
          </a:endParaRPr>
        </a:p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20</xdr:row>
      <xdr:rowOff>127000</xdr:rowOff>
    </xdr:from>
    <xdr:to>
      <xdr:col>3</xdr:col>
      <xdr:colOff>241300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977900</xdr:colOff>
      <xdr:row>21</xdr:row>
      <xdr:rowOff>0</xdr:rowOff>
    </xdr:from>
    <xdr:to>
      <xdr:col>2</xdr:col>
      <xdr:colOff>2260600</xdr:colOff>
      <xdr:row>22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3848100" y="4000500"/>
          <a:ext cx="12827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AVA &amp; KODA</a:t>
          </a: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8</xdr:col>
      <xdr:colOff>12700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635000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647700</xdr:colOff>
      <xdr:row>12</xdr:row>
      <xdr:rowOff>63500</xdr:rowOff>
    </xdr:from>
    <xdr:to>
      <xdr:col>11</xdr:col>
      <xdr:colOff>279400</xdr:colOff>
      <xdr:row>13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8077200" y="2349500"/>
          <a:ext cx="12827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KODI &amp; KAIA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37c4faca724348e/Documents/Monmouth%20University/SeniorYear/Spring/MA321/Mehrkam/Play%20Exp%201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ky &amp; Oaky"/>
      <sheetName val="Kobe &amp; Ian"/>
      <sheetName val="Sally &amp; Vanya"/>
      <sheetName val="Kodi &amp; Kaia (2)"/>
      <sheetName val="Kodi &amp; Kaia"/>
      <sheetName val="Dax &amp; Fiona"/>
      <sheetName val="Misha &amp; Houston"/>
      <sheetName val="Carlie &amp; Rosie"/>
    </sheetNames>
    <sheetDataSet>
      <sheetData sheetId="0">
        <row r="1">
          <cell r="C1" t="str">
            <v xml:space="preserve">SD (Attention) </v>
          </cell>
          <cell r="D1" t="str">
            <v>S-Delta (No Attention)</v>
          </cell>
        </row>
        <row r="2">
          <cell r="B2">
            <v>1</v>
          </cell>
          <cell r="C2">
            <v>16.666666666666664</v>
          </cell>
          <cell r="D2">
            <v>0</v>
          </cell>
          <cell r="F2">
            <v>2.5</v>
          </cell>
          <cell r="G2">
            <v>0</v>
          </cell>
        </row>
        <row r="3">
          <cell r="B3">
            <v>2</v>
          </cell>
          <cell r="C3">
            <v>5</v>
          </cell>
          <cell r="D3">
            <v>0</v>
          </cell>
          <cell r="F3">
            <v>2.5</v>
          </cell>
          <cell r="G3">
            <v>110</v>
          </cell>
        </row>
        <row r="4">
          <cell r="B4">
            <v>3</v>
          </cell>
          <cell r="C4">
            <v>21.666666666666668</v>
          </cell>
          <cell r="D4">
            <v>0</v>
          </cell>
          <cell r="F4">
            <v>5.5</v>
          </cell>
          <cell r="G4">
            <v>0</v>
          </cell>
        </row>
        <row r="5">
          <cell r="B5">
            <v>4</v>
          </cell>
          <cell r="C5">
            <v>68.333333333333329</v>
          </cell>
          <cell r="D5">
            <v>0</v>
          </cell>
          <cell r="F5">
            <v>5.5</v>
          </cell>
          <cell r="G5">
            <v>110</v>
          </cell>
        </row>
        <row r="6">
          <cell r="B6">
            <v>5</v>
          </cell>
          <cell r="C6">
            <v>16.666666666666664</v>
          </cell>
          <cell r="D6">
            <v>0</v>
          </cell>
          <cell r="F6">
            <v>8.5</v>
          </cell>
          <cell r="G6">
            <v>0</v>
          </cell>
        </row>
        <row r="7">
          <cell r="B7">
            <v>6</v>
          </cell>
          <cell r="C7">
            <v>86.666666666666671</v>
          </cell>
          <cell r="D7">
            <v>0</v>
          </cell>
          <cell r="F7">
            <v>8.5</v>
          </cell>
          <cell r="G7">
            <v>110</v>
          </cell>
        </row>
        <row r="8">
          <cell r="B8">
            <v>7</v>
          </cell>
          <cell r="C8">
            <v>53.333333333333336</v>
          </cell>
          <cell r="D8">
            <v>0</v>
          </cell>
        </row>
        <row r="9">
          <cell r="B9">
            <v>8</v>
          </cell>
          <cell r="C9">
            <v>30</v>
          </cell>
          <cell r="D9">
            <v>0</v>
          </cell>
        </row>
        <row r="10">
          <cell r="B10">
            <v>9</v>
          </cell>
          <cell r="C10">
            <v>46.666666666666664</v>
          </cell>
          <cell r="D10">
            <v>0</v>
          </cell>
        </row>
        <row r="11">
          <cell r="B11">
            <v>10</v>
          </cell>
          <cell r="C11">
            <v>61.666666666666671</v>
          </cell>
          <cell r="D11">
            <v>0</v>
          </cell>
        </row>
      </sheetData>
      <sheetData sheetId="1" refreshError="1"/>
      <sheetData sheetId="2" refreshError="1"/>
      <sheetData sheetId="3">
        <row r="1">
          <cell r="C1" t="str">
            <v xml:space="preserve">SD (Attention) </v>
          </cell>
          <cell r="D1" t="str">
            <v>S-Delta (No Attention)</v>
          </cell>
        </row>
      </sheetData>
      <sheetData sheetId="4">
        <row r="1">
          <cell r="C1" t="str">
            <v xml:space="preserve">SD (Attention) </v>
          </cell>
          <cell r="D1" t="str">
            <v>S-Delta (No Attention)</v>
          </cell>
        </row>
      </sheetData>
      <sheetData sheetId="5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</sheetData>
      <sheetData sheetId="6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</sheetData>
      <sheetData sheetId="7">
        <row r="3">
          <cell r="AB3">
            <v>1</v>
          </cell>
          <cell r="AC3">
            <v>11.666666666666666</v>
          </cell>
          <cell r="AD3">
            <v>0</v>
          </cell>
        </row>
        <row r="4">
          <cell r="AB4">
            <v>2</v>
          </cell>
          <cell r="AC4">
            <v>1.6666666666666667</v>
          </cell>
          <cell r="AD4">
            <v>0</v>
          </cell>
        </row>
        <row r="5">
          <cell r="AB5">
            <v>3</v>
          </cell>
          <cell r="AC5">
            <v>1.6666666666666667</v>
          </cell>
          <cell r="AD5">
            <v>0</v>
          </cell>
        </row>
        <row r="6">
          <cell r="AB6">
            <v>4</v>
          </cell>
          <cell r="AC6">
            <v>11.666666666666666</v>
          </cell>
          <cell r="AD6">
            <v>0</v>
          </cell>
        </row>
        <row r="7">
          <cell r="AB7">
            <v>5</v>
          </cell>
          <cell r="AC7">
            <v>6.666666666666667</v>
          </cell>
          <cell r="AD7">
            <v>0</v>
          </cell>
        </row>
        <row r="8">
          <cell r="AB8">
            <v>6</v>
          </cell>
          <cell r="AC8">
            <v>10</v>
          </cell>
          <cell r="AD8">
            <v>0</v>
          </cell>
        </row>
        <row r="9">
          <cell r="AB9">
            <v>7</v>
          </cell>
          <cell r="AC9">
            <v>0</v>
          </cell>
          <cell r="AD9">
            <v>0</v>
          </cell>
        </row>
        <row r="10">
          <cell r="AB10">
            <v>8</v>
          </cell>
          <cell r="AC10">
            <v>0</v>
          </cell>
          <cell r="AD10">
            <v>0</v>
          </cell>
        </row>
        <row r="11">
          <cell r="AB11">
            <v>9</v>
          </cell>
          <cell r="AC11">
            <v>0</v>
          </cell>
          <cell r="AD11">
            <v>0</v>
          </cell>
        </row>
        <row r="12">
          <cell r="AB12">
            <v>10</v>
          </cell>
          <cell r="AC12">
            <v>6.666666666666667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D18" sqref="D18"/>
    </sheetView>
  </sheetViews>
  <sheetFormatPr baseColWidth="10" defaultColWidth="10.6640625" defaultRowHeight="16"/>
  <cols>
    <col min="2" max="2" width="15.33203125" bestFit="1" customWidth="1"/>
  </cols>
  <sheetData>
    <row r="1" spans="1:5">
      <c r="A1" t="s">
        <v>67</v>
      </c>
      <c r="B1" t="s">
        <v>68</v>
      </c>
      <c r="C1" t="s">
        <v>69</v>
      </c>
      <c r="D1" t="s">
        <v>70</v>
      </c>
    </row>
    <row r="2" spans="1:5">
      <c r="A2">
        <v>1</v>
      </c>
      <c r="B2" s="12" t="s">
        <v>71</v>
      </c>
      <c r="C2" s="12"/>
      <c r="D2" s="12">
        <v>1</v>
      </c>
      <c r="E2" s="12"/>
    </row>
    <row r="3" spans="1:5">
      <c r="A3">
        <v>2</v>
      </c>
      <c r="B3" t="s">
        <v>72</v>
      </c>
      <c r="D3">
        <v>2</v>
      </c>
    </row>
    <row r="4" spans="1:5">
      <c r="A4">
        <v>3</v>
      </c>
      <c r="B4" t="s">
        <v>14</v>
      </c>
      <c r="D4">
        <v>1</v>
      </c>
    </row>
    <row r="5" spans="1:5">
      <c r="A5">
        <v>4</v>
      </c>
      <c r="B5" t="s">
        <v>15</v>
      </c>
      <c r="D5">
        <v>2</v>
      </c>
    </row>
    <row r="6" spans="1:5">
      <c r="A6">
        <v>5</v>
      </c>
      <c r="B6" s="11" t="s">
        <v>47</v>
      </c>
      <c r="C6" s="11"/>
      <c r="D6" s="11">
        <v>3</v>
      </c>
      <c r="E6" s="11"/>
    </row>
    <row r="7" spans="1:5">
      <c r="A7">
        <v>6</v>
      </c>
      <c r="B7" t="s">
        <v>16</v>
      </c>
      <c r="D7">
        <v>3</v>
      </c>
    </row>
    <row r="8" spans="1:5">
      <c r="A8">
        <v>7</v>
      </c>
      <c r="B8" t="s">
        <v>17</v>
      </c>
      <c r="D8">
        <v>3</v>
      </c>
    </row>
    <row r="9" spans="1:5">
      <c r="A9">
        <v>8</v>
      </c>
      <c r="B9" t="s">
        <v>48</v>
      </c>
      <c r="D9">
        <v>3</v>
      </c>
    </row>
    <row r="10" spans="1:5">
      <c r="A10">
        <v>9</v>
      </c>
      <c r="B10" t="s">
        <v>49</v>
      </c>
      <c r="D10">
        <v>1</v>
      </c>
    </row>
    <row r="11" spans="1:5">
      <c r="A11">
        <v>10</v>
      </c>
      <c r="B11" t="s">
        <v>18</v>
      </c>
      <c r="D11">
        <v>3</v>
      </c>
    </row>
    <row r="12" spans="1:5">
      <c r="A12">
        <v>11</v>
      </c>
      <c r="B12" t="s">
        <v>50</v>
      </c>
      <c r="D12">
        <v>1</v>
      </c>
    </row>
    <row r="13" spans="1:5">
      <c r="A13">
        <v>12</v>
      </c>
      <c r="B13" s="12" t="s">
        <v>73</v>
      </c>
      <c r="C13" s="12"/>
      <c r="D13" s="12">
        <v>3</v>
      </c>
      <c r="E13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workbookViewId="0">
      <selection activeCell="C2" sqref="C2:D11"/>
    </sheetView>
  </sheetViews>
  <sheetFormatPr baseColWidth="10" defaultColWidth="10.6640625" defaultRowHeight="16"/>
  <sheetData>
    <row r="1" spans="1:7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</row>
    <row r="2" spans="1:7">
      <c r="A2" s="2">
        <v>41583</v>
      </c>
      <c r="B2">
        <v>1</v>
      </c>
      <c r="C2">
        <f>33+15</f>
        <v>48</v>
      </c>
      <c r="D2">
        <v>13</v>
      </c>
    </row>
    <row r="3" spans="1:7">
      <c r="A3" s="2">
        <v>41585</v>
      </c>
      <c r="B3">
        <v>2</v>
      </c>
      <c r="C3">
        <v>6</v>
      </c>
      <c r="D3">
        <v>0</v>
      </c>
    </row>
    <row r="4" spans="1:7">
      <c r="A4" s="2">
        <v>41592</v>
      </c>
      <c r="B4">
        <v>3</v>
      </c>
      <c r="C4">
        <v>62</v>
      </c>
      <c r="D4">
        <v>88</v>
      </c>
    </row>
    <row r="5" spans="1:7">
      <c r="A5" s="2">
        <v>41614</v>
      </c>
      <c r="B5">
        <v>4</v>
      </c>
      <c r="C5">
        <v>10</v>
      </c>
      <c r="D5">
        <v>0</v>
      </c>
    </row>
    <row r="6" spans="1:7">
      <c r="A6" s="2">
        <v>41616</v>
      </c>
      <c r="B6">
        <v>5</v>
      </c>
      <c r="C6">
        <v>67</v>
      </c>
      <c r="D6">
        <v>0</v>
      </c>
    </row>
    <row r="7" spans="1:7">
      <c r="A7" s="2">
        <v>41617</v>
      </c>
      <c r="B7">
        <v>6</v>
      </c>
      <c r="C7">
        <v>35</v>
      </c>
      <c r="D7">
        <v>0</v>
      </c>
    </row>
    <row r="8" spans="1:7">
      <c r="B8">
        <v>7</v>
      </c>
      <c r="C8">
        <v>87</v>
      </c>
      <c r="D8">
        <v>0</v>
      </c>
    </row>
    <row r="9" spans="1:7">
      <c r="B9">
        <v>8</v>
      </c>
      <c r="C9">
        <v>22</v>
      </c>
      <c r="D9">
        <v>0</v>
      </c>
    </row>
    <row r="10" spans="1:7">
      <c r="B10">
        <v>9</v>
      </c>
      <c r="C10">
        <f>22+39</f>
        <v>61</v>
      </c>
      <c r="D10">
        <v>0</v>
      </c>
    </row>
    <row r="11" spans="1:7">
      <c r="B11">
        <v>10</v>
      </c>
      <c r="C11">
        <v>29</v>
      </c>
      <c r="D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1"/>
  <sheetViews>
    <sheetView workbookViewId="0">
      <selection activeCell="D2" sqref="D2:E11"/>
    </sheetView>
  </sheetViews>
  <sheetFormatPr baseColWidth="10" defaultColWidth="10.6640625" defaultRowHeight="16"/>
  <sheetData>
    <row r="1" spans="2:8">
      <c r="B1" t="s">
        <v>3</v>
      </c>
      <c r="C1" t="s">
        <v>0</v>
      </c>
      <c r="D1" t="s">
        <v>5</v>
      </c>
      <c r="E1" t="s">
        <v>6</v>
      </c>
      <c r="G1" t="s">
        <v>7</v>
      </c>
      <c r="H1" t="s">
        <v>8</v>
      </c>
    </row>
    <row r="2" spans="2:8">
      <c r="C2">
        <v>1</v>
      </c>
      <c r="D2">
        <f>180+14+38</f>
        <v>232</v>
      </c>
      <c r="E2">
        <v>0</v>
      </c>
    </row>
    <row r="3" spans="2:8">
      <c r="C3">
        <v>2</v>
      </c>
      <c r="D3">
        <f>14+120+54</f>
        <v>188</v>
      </c>
      <c r="E3">
        <f>60+3+42</f>
        <v>105</v>
      </c>
    </row>
    <row r="4" spans="2:8">
      <c r="C4">
        <v>3</v>
      </c>
      <c r="D4">
        <v>0</v>
      </c>
      <c r="E4">
        <v>0</v>
      </c>
    </row>
    <row r="5" spans="2:8">
      <c r="C5">
        <v>4</v>
      </c>
      <c r="D5">
        <f>180+27+16</f>
        <v>223</v>
      </c>
      <c r="E5">
        <v>5</v>
      </c>
    </row>
    <row r="6" spans="2:8">
      <c r="C6">
        <v>5</v>
      </c>
      <c r="D6">
        <f>120+44+20</f>
        <v>184</v>
      </c>
      <c r="E6">
        <v>0</v>
      </c>
    </row>
    <row r="7" spans="2:8">
      <c r="C7">
        <v>6</v>
      </c>
      <c r="D7">
        <f>120+50+16</f>
        <v>186</v>
      </c>
      <c r="E7">
        <f>60+47</f>
        <v>107</v>
      </c>
    </row>
    <row r="8" spans="2:8">
      <c r="C8">
        <v>7</v>
      </c>
      <c r="D8">
        <f>60+42+23</f>
        <v>125</v>
      </c>
      <c r="E8">
        <v>0</v>
      </c>
    </row>
    <row r="9" spans="2:8">
      <c r="C9">
        <v>8</v>
      </c>
      <c r="D9">
        <f>120+24+7</f>
        <v>151</v>
      </c>
      <c r="E9">
        <v>0</v>
      </c>
    </row>
    <row r="10" spans="2:8">
      <c r="C10">
        <v>9</v>
      </c>
      <c r="D10">
        <v>98</v>
      </c>
      <c r="E10">
        <v>158</v>
      </c>
    </row>
    <row r="11" spans="2:8">
      <c r="C11">
        <v>10</v>
      </c>
      <c r="D11">
        <f>120+23+13</f>
        <v>156</v>
      </c>
      <c r="E11">
        <f>29+17</f>
        <v>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I27"/>
  <sheetViews>
    <sheetView workbookViewId="0">
      <selection activeCell="C2" sqref="C2:D11"/>
    </sheetView>
  </sheetViews>
  <sheetFormatPr baseColWidth="10" defaultColWidth="10.6640625" defaultRowHeight="16"/>
  <sheetData>
    <row r="1" spans="1:26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  <c r="T1" t="s">
        <v>3</v>
      </c>
      <c r="U1" t="s">
        <v>0</v>
      </c>
      <c r="V1" t="s">
        <v>5</v>
      </c>
      <c r="W1" t="s">
        <v>6</v>
      </c>
      <c r="Y1" t="s">
        <v>7</v>
      </c>
      <c r="Z1" t="s">
        <v>8</v>
      </c>
    </row>
    <row r="2" spans="1:26">
      <c r="A2" s="2">
        <v>41652</v>
      </c>
      <c r="B2">
        <v>1</v>
      </c>
      <c r="C2">
        <f>26*5</f>
        <v>130</v>
      </c>
      <c r="D2">
        <v>0</v>
      </c>
      <c r="T2" s="2">
        <v>41652</v>
      </c>
      <c r="U2">
        <v>1</v>
      </c>
      <c r="V2">
        <v>47</v>
      </c>
      <c r="W2">
        <v>13</v>
      </c>
    </row>
    <row r="3" spans="1:26">
      <c r="A3" s="2">
        <v>41653</v>
      </c>
      <c r="B3">
        <v>2</v>
      </c>
      <c r="C3">
        <f>57*5</f>
        <v>285</v>
      </c>
      <c r="D3">
        <f>34*5</f>
        <v>170</v>
      </c>
      <c r="T3" s="2">
        <v>41653</v>
      </c>
      <c r="U3">
        <v>2</v>
      </c>
      <c r="V3">
        <v>6</v>
      </c>
      <c r="W3">
        <v>0</v>
      </c>
    </row>
    <row r="4" spans="1:26">
      <c r="A4" s="2">
        <v>41654</v>
      </c>
      <c r="B4">
        <v>3</v>
      </c>
      <c r="C4">
        <f>25*5</f>
        <v>125</v>
      </c>
      <c r="D4">
        <v>0</v>
      </c>
      <c r="T4" s="2">
        <v>41654</v>
      </c>
      <c r="U4">
        <v>3</v>
      </c>
      <c r="V4">
        <v>66</v>
      </c>
      <c r="W4">
        <v>88</v>
      </c>
    </row>
    <row r="5" spans="1:26">
      <c r="A5" s="2">
        <v>41660</v>
      </c>
      <c r="B5">
        <v>4</v>
      </c>
      <c r="C5">
        <f>45*5</f>
        <v>225</v>
      </c>
      <c r="D5">
        <v>0</v>
      </c>
      <c r="T5" s="2">
        <v>41660</v>
      </c>
      <c r="U5">
        <v>4</v>
      </c>
      <c r="V5">
        <v>10</v>
      </c>
      <c r="W5">
        <v>0</v>
      </c>
    </row>
    <row r="6" spans="1:26">
      <c r="A6" s="2">
        <v>41661</v>
      </c>
      <c r="B6">
        <v>5</v>
      </c>
      <c r="C6">
        <f>50*5</f>
        <v>250</v>
      </c>
      <c r="D6">
        <v>5</v>
      </c>
      <c r="T6" s="2">
        <v>41661</v>
      </c>
      <c r="U6">
        <v>5</v>
      </c>
      <c r="V6">
        <v>67</v>
      </c>
      <c r="W6">
        <v>0</v>
      </c>
    </row>
    <row r="7" spans="1:26">
      <c r="A7" s="2">
        <v>41663</v>
      </c>
      <c r="B7">
        <v>6</v>
      </c>
      <c r="C7">
        <f>33*5</f>
        <v>165</v>
      </c>
      <c r="D7">
        <v>0</v>
      </c>
      <c r="T7" s="2">
        <v>41663</v>
      </c>
      <c r="U7">
        <v>6</v>
      </c>
      <c r="V7">
        <v>35</v>
      </c>
      <c r="W7">
        <v>0</v>
      </c>
    </row>
    <row r="8" spans="1:26">
      <c r="A8" s="3">
        <v>41666</v>
      </c>
      <c r="B8">
        <v>7</v>
      </c>
      <c r="C8">
        <f>300-139</f>
        <v>161</v>
      </c>
      <c r="D8">
        <v>0</v>
      </c>
      <c r="T8" s="3">
        <v>41666</v>
      </c>
      <c r="U8">
        <v>7</v>
      </c>
      <c r="V8">
        <v>87</v>
      </c>
      <c r="W8">
        <v>0</v>
      </c>
    </row>
    <row r="9" spans="1:26">
      <c r="A9" s="3">
        <v>41667</v>
      </c>
      <c r="B9">
        <v>8</v>
      </c>
      <c r="C9">
        <f>124+5+16</f>
        <v>145</v>
      </c>
      <c r="D9">
        <v>0</v>
      </c>
      <c r="T9" s="3">
        <v>41667</v>
      </c>
      <c r="U9">
        <v>8</v>
      </c>
      <c r="V9">
        <v>22</v>
      </c>
      <c r="W9">
        <v>0</v>
      </c>
    </row>
    <row r="10" spans="1:26">
      <c r="A10" s="3">
        <v>41668</v>
      </c>
      <c r="B10">
        <v>9</v>
      </c>
      <c r="C10">
        <f>179+18</f>
        <v>197</v>
      </c>
      <c r="D10">
        <v>0</v>
      </c>
      <c r="T10" s="3">
        <v>41668</v>
      </c>
      <c r="U10">
        <v>9</v>
      </c>
      <c r="V10">
        <v>61</v>
      </c>
      <c r="W10">
        <v>0</v>
      </c>
    </row>
    <row r="11" spans="1:26">
      <c r="A11" s="3">
        <v>41670</v>
      </c>
      <c r="B11">
        <v>10</v>
      </c>
      <c r="C11">
        <f>126+81</f>
        <v>207</v>
      </c>
      <c r="D11">
        <v>0</v>
      </c>
      <c r="T11" s="3">
        <v>41670</v>
      </c>
      <c r="U11">
        <v>10</v>
      </c>
      <c r="V11">
        <v>29</v>
      </c>
      <c r="W11">
        <v>0</v>
      </c>
    </row>
    <row r="18" spans="35:35">
      <c r="AI18" s="2"/>
    </row>
    <row r="19" spans="35:35">
      <c r="AI19" s="2"/>
    </row>
    <row r="20" spans="35:35">
      <c r="AI20" s="2"/>
    </row>
    <row r="21" spans="35:35">
      <c r="AI21" s="2"/>
    </row>
    <row r="22" spans="35:35">
      <c r="AI22" s="2"/>
    </row>
    <row r="23" spans="35:35">
      <c r="AI23" s="2"/>
    </row>
    <row r="24" spans="35:35">
      <c r="AI24" s="3"/>
    </row>
    <row r="25" spans="35:35">
      <c r="AI25" s="3"/>
    </row>
    <row r="26" spans="35:35">
      <c r="AI26" s="3"/>
    </row>
    <row r="27" spans="35:35">
      <c r="AI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C2" sqref="C2:D11"/>
    </sheetView>
  </sheetViews>
  <sheetFormatPr baseColWidth="10" defaultColWidth="10.6640625" defaultRowHeight="16"/>
  <sheetData>
    <row r="1" spans="1:7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</row>
    <row r="2" spans="1:7">
      <c r="A2" s="2">
        <v>41673</v>
      </c>
      <c r="B2">
        <v>1</v>
      </c>
      <c r="C2">
        <f>19+24</f>
        <v>43</v>
      </c>
      <c r="D2">
        <v>0</v>
      </c>
    </row>
    <row r="3" spans="1:7">
      <c r="A3" s="2">
        <v>41674</v>
      </c>
      <c r="B3">
        <v>2</v>
      </c>
      <c r="C3">
        <f>120+27+5</f>
        <v>152</v>
      </c>
      <c r="D3">
        <v>0</v>
      </c>
    </row>
    <row r="4" spans="1:7">
      <c r="A4" s="2">
        <v>41682</v>
      </c>
      <c r="B4">
        <v>3</v>
      </c>
      <c r="C4">
        <f>2+29</f>
        <v>31</v>
      </c>
      <c r="D4">
        <v>0</v>
      </c>
    </row>
    <row r="5" spans="1:7">
      <c r="A5" s="2">
        <v>41683</v>
      </c>
      <c r="B5">
        <v>4</v>
      </c>
      <c r="C5">
        <v>32</v>
      </c>
      <c r="D5">
        <v>0</v>
      </c>
    </row>
    <row r="6" spans="1:7">
      <c r="A6" s="2">
        <v>41687</v>
      </c>
      <c r="B6">
        <v>5</v>
      </c>
      <c r="C6">
        <v>18</v>
      </c>
      <c r="D6">
        <v>0</v>
      </c>
    </row>
    <row r="7" spans="1:7">
      <c r="A7" s="2">
        <v>41688</v>
      </c>
      <c r="B7">
        <v>6</v>
      </c>
      <c r="C7">
        <f>60+23+13</f>
        <v>96</v>
      </c>
      <c r="D7">
        <v>0</v>
      </c>
    </row>
    <row r="8" spans="1:7">
      <c r="A8" s="2">
        <v>41694</v>
      </c>
      <c r="B8">
        <v>7</v>
      </c>
      <c r="C8">
        <f>60+40</f>
        <v>100</v>
      </c>
      <c r="D8">
        <v>0</v>
      </c>
    </row>
    <row r="9" spans="1:7">
      <c r="A9" t="s">
        <v>39</v>
      </c>
      <c r="B9">
        <v>8</v>
      </c>
      <c r="C9">
        <f>58+20</f>
        <v>78</v>
      </c>
      <c r="D9">
        <v>0</v>
      </c>
    </row>
    <row r="10" spans="1:7">
      <c r="A10" t="s">
        <v>40</v>
      </c>
      <c r="B10">
        <v>9</v>
      </c>
      <c r="C10">
        <f>120+26+10</f>
        <v>156</v>
      </c>
      <c r="D10">
        <v>0</v>
      </c>
    </row>
    <row r="11" spans="1:7">
      <c r="A11" t="s">
        <v>41</v>
      </c>
      <c r="B11">
        <v>10</v>
      </c>
      <c r="C11">
        <f>60+45+29</f>
        <v>134</v>
      </c>
      <c r="D11">
        <v>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G11"/>
  <sheetViews>
    <sheetView workbookViewId="0">
      <selection activeCell="C2" sqref="C2:D11"/>
    </sheetView>
  </sheetViews>
  <sheetFormatPr baseColWidth="10" defaultColWidth="10.6640625" defaultRowHeight="16"/>
  <cols>
    <col min="3" max="3" width="12.83203125" bestFit="1" customWidth="1"/>
    <col min="4" max="4" width="19.1640625" bestFit="1" customWidth="1"/>
  </cols>
  <sheetData>
    <row r="1" spans="1:7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</row>
    <row r="2" spans="1:7">
      <c r="B2">
        <v>1</v>
      </c>
      <c r="C2">
        <v>154</v>
      </c>
      <c r="D2">
        <v>0</v>
      </c>
    </row>
    <row r="3" spans="1:7">
      <c r="B3">
        <v>2</v>
      </c>
      <c r="C3">
        <v>25</v>
      </c>
      <c r="D3">
        <v>6</v>
      </c>
    </row>
    <row r="4" spans="1:7">
      <c r="B4">
        <v>3</v>
      </c>
      <c r="C4">
        <v>172</v>
      </c>
      <c r="D4">
        <v>0</v>
      </c>
    </row>
    <row r="5" spans="1:7">
      <c r="B5">
        <v>4</v>
      </c>
      <c r="C5">
        <v>146</v>
      </c>
      <c r="D5">
        <v>10</v>
      </c>
    </row>
    <row r="6" spans="1:7">
      <c r="B6">
        <v>5</v>
      </c>
      <c r="C6">
        <v>0</v>
      </c>
      <c r="D6">
        <v>0</v>
      </c>
    </row>
    <row r="7" spans="1:7">
      <c r="B7">
        <v>6</v>
      </c>
      <c r="C7">
        <v>0</v>
      </c>
      <c r="D7">
        <v>4</v>
      </c>
    </row>
    <row r="8" spans="1:7">
      <c r="B8">
        <v>7</v>
      </c>
      <c r="C8">
        <v>9</v>
      </c>
      <c r="D8">
        <v>0</v>
      </c>
    </row>
    <row r="9" spans="1:7">
      <c r="B9">
        <v>8</v>
      </c>
      <c r="C9">
        <v>0</v>
      </c>
      <c r="D9">
        <v>0</v>
      </c>
    </row>
    <row r="10" spans="1:7">
      <c r="B10">
        <v>9</v>
      </c>
      <c r="C10">
        <v>16</v>
      </c>
      <c r="D10">
        <v>9</v>
      </c>
    </row>
    <row r="11" spans="1:7">
      <c r="B11">
        <v>10</v>
      </c>
      <c r="C11">
        <v>0</v>
      </c>
      <c r="D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D0F0-9409-405A-B287-6F227E8E6085}">
  <dimension ref="A1:E121"/>
  <sheetViews>
    <sheetView tabSelected="1" workbookViewId="0">
      <selection activeCell="F114" sqref="F114"/>
    </sheetView>
  </sheetViews>
  <sheetFormatPr baseColWidth="10" defaultColWidth="8.83203125" defaultRowHeight="16"/>
  <cols>
    <col min="1" max="1" width="15" bestFit="1" customWidth="1"/>
    <col min="2" max="2" width="9" bestFit="1" customWidth="1"/>
  </cols>
  <sheetData>
    <row r="1" spans="1:5">
      <c r="A1" s="10" t="s">
        <v>74</v>
      </c>
      <c r="B1" s="10" t="s">
        <v>75</v>
      </c>
      <c r="C1" s="10" t="s">
        <v>76</v>
      </c>
      <c r="D1" s="4" t="s">
        <v>44</v>
      </c>
      <c r="E1" s="4" t="s">
        <v>45</v>
      </c>
    </row>
    <row r="2" spans="1:5">
      <c r="A2" t="s">
        <v>71</v>
      </c>
      <c r="B2">
        <v>1</v>
      </c>
      <c r="C2">
        <v>1</v>
      </c>
      <c r="D2">
        <f>222+12</f>
        <v>234</v>
      </c>
      <c r="E2">
        <v>0</v>
      </c>
    </row>
    <row r="3" spans="1:5">
      <c r="A3" t="s">
        <v>71</v>
      </c>
      <c r="B3">
        <v>1</v>
      </c>
      <c r="C3">
        <v>2</v>
      </c>
      <c r="D3">
        <f>190+35</f>
        <v>225</v>
      </c>
      <c r="E3">
        <v>0</v>
      </c>
    </row>
    <row r="4" spans="1:5">
      <c r="A4" t="s">
        <v>71</v>
      </c>
      <c r="B4">
        <v>1</v>
      </c>
      <c r="C4">
        <v>3</v>
      </c>
      <c r="D4">
        <f>218+11</f>
        <v>229</v>
      </c>
      <c r="E4">
        <v>0</v>
      </c>
    </row>
    <row r="5" spans="1:5">
      <c r="A5" t="s">
        <v>71</v>
      </c>
      <c r="B5">
        <v>1</v>
      </c>
      <c r="C5">
        <v>4</v>
      </c>
      <c r="D5">
        <f>132+16</f>
        <v>148</v>
      </c>
      <c r="E5">
        <v>0</v>
      </c>
    </row>
    <row r="6" spans="1:5">
      <c r="A6" t="s">
        <v>71</v>
      </c>
      <c r="B6">
        <v>1</v>
      </c>
      <c r="C6">
        <v>5</v>
      </c>
      <c r="D6">
        <f>36+10</f>
        <v>46</v>
      </c>
      <c r="E6">
        <v>0</v>
      </c>
    </row>
    <row r="7" spans="1:5">
      <c r="A7" t="s">
        <v>71</v>
      </c>
      <c r="B7">
        <v>1</v>
      </c>
      <c r="C7">
        <v>6</v>
      </c>
      <c r="D7">
        <f>179+23</f>
        <v>202</v>
      </c>
      <c r="E7">
        <v>0</v>
      </c>
    </row>
    <row r="8" spans="1:5">
      <c r="A8" t="s">
        <v>71</v>
      </c>
      <c r="B8">
        <v>1</v>
      </c>
      <c r="C8">
        <v>7</v>
      </c>
      <c r="D8">
        <f>69+24</f>
        <v>93</v>
      </c>
      <c r="E8">
        <v>0</v>
      </c>
    </row>
    <row r="9" spans="1:5">
      <c r="A9" t="s">
        <v>71</v>
      </c>
      <c r="B9">
        <v>1</v>
      </c>
      <c r="C9">
        <v>8</v>
      </c>
      <c r="D9">
        <v>3</v>
      </c>
      <c r="E9">
        <v>0</v>
      </c>
    </row>
    <row r="10" spans="1:5">
      <c r="A10" t="s">
        <v>71</v>
      </c>
      <c r="B10">
        <v>1</v>
      </c>
      <c r="C10">
        <v>9</v>
      </c>
      <c r="D10">
        <v>8</v>
      </c>
      <c r="E10">
        <v>0</v>
      </c>
    </row>
    <row r="11" spans="1:5">
      <c r="A11" t="s">
        <v>71</v>
      </c>
      <c r="B11">
        <v>1</v>
      </c>
      <c r="C11">
        <v>10</v>
      </c>
      <c r="D11">
        <v>17</v>
      </c>
      <c r="E11">
        <v>0</v>
      </c>
    </row>
    <row r="12" spans="1:5">
      <c r="A12" t="s">
        <v>13</v>
      </c>
      <c r="B12">
        <v>2</v>
      </c>
      <c r="C12">
        <v>1</v>
      </c>
      <c r="D12">
        <f>30*5</f>
        <v>150</v>
      </c>
      <c r="E12">
        <v>0</v>
      </c>
    </row>
    <row r="13" spans="1:5">
      <c r="A13" t="s">
        <v>13</v>
      </c>
      <c r="B13">
        <v>2</v>
      </c>
      <c r="C13">
        <v>2</v>
      </c>
      <c r="D13">
        <f>29*5</f>
        <v>145</v>
      </c>
      <c r="E13">
        <v>0</v>
      </c>
    </row>
    <row r="14" spans="1:5">
      <c r="A14" t="s">
        <v>13</v>
      </c>
      <c r="B14">
        <v>2</v>
      </c>
      <c r="C14">
        <v>3</v>
      </c>
      <c r="D14">
        <f>27*5</f>
        <v>135</v>
      </c>
      <c r="E14">
        <f>44*5</f>
        <v>220</v>
      </c>
    </row>
    <row r="15" spans="1:5">
      <c r="A15" t="s">
        <v>13</v>
      </c>
      <c r="B15">
        <v>2</v>
      </c>
      <c r="C15">
        <v>4</v>
      </c>
      <c r="D15">
        <f>40*5</f>
        <v>200</v>
      </c>
      <c r="E15">
        <f>54*5</f>
        <v>270</v>
      </c>
    </row>
    <row r="16" spans="1:5">
      <c r="A16" t="s">
        <v>13</v>
      </c>
      <c r="B16">
        <v>2</v>
      </c>
      <c r="C16">
        <v>5</v>
      </c>
      <c r="D16">
        <f>27*5</f>
        <v>135</v>
      </c>
      <c r="E16">
        <v>0</v>
      </c>
    </row>
    <row r="17" spans="1:5">
      <c r="A17" t="s">
        <v>13</v>
      </c>
      <c r="B17">
        <v>2</v>
      </c>
      <c r="C17">
        <v>6</v>
      </c>
      <c r="D17">
        <v>134</v>
      </c>
      <c r="E17">
        <f>28*5</f>
        <v>140</v>
      </c>
    </row>
    <row r="18" spans="1:5">
      <c r="A18" t="s">
        <v>13</v>
      </c>
      <c r="B18">
        <v>2</v>
      </c>
      <c r="C18">
        <v>7</v>
      </c>
      <c r="D18">
        <f>14*5</f>
        <v>70</v>
      </c>
      <c r="E18">
        <f>26*5</f>
        <v>130</v>
      </c>
    </row>
    <row r="19" spans="1:5">
      <c r="A19" t="s">
        <v>13</v>
      </c>
      <c r="B19">
        <v>2</v>
      </c>
      <c r="C19">
        <v>8</v>
      </c>
      <c r="D19">
        <f>35*5</f>
        <v>175</v>
      </c>
      <c r="E19">
        <f>48*5</f>
        <v>240</v>
      </c>
    </row>
    <row r="20" spans="1:5">
      <c r="A20" t="s">
        <v>13</v>
      </c>
      <c r="B20">
        <v>2</v>
      </c>
      <c r="C20">
        <v>9</v>
      </c>
      <c r="D20">
        <v>0</v>
      </c>
      <c r="E20">
        <v>0</v>
      </c>
    </row>
    <row r="21" spans="1:5">
      <c r="A21" t="s">
        <v>13</v>
      </c>
      <c r="B21">
        <v>2</v>
      </c>
      <c r="C21">
        <v>10</v>
      </c>
      <c r="D21">
        <f>13*5</f>
        <v>65</v>
      </c>
      <c r="E21">
        <v>0</v>
      </c>
    </row>
    <row r="22" spans="1:5">
      <c r="A22" t="s">
        <v>14</v>
      </c>
      <c r="B22">
        <v>3</v>
      </c>
      <c r="C22">
        <v>1</v>
      </c>
      <c r="D22">
        <f>10*5</f>
        <v>50</v>
      </c>
      <c r="E22" s="4">
        <v>0</v>
      </c>
    </row>
    <row r="23" spans="1:5">
      <c r="A23" t="s">
        <v>14</v>
      </c>
      <c r="B23">
        <v>3</v>
      </c>
      <c r="C23">
        <v>2</v>
      </c>
      <c r="D23">
        <f>3*5</f>
        <v>15</v>
      </c>
      <c r="E23" s="4">
        <v>0</v>
      </c>
    </row>
    <row r="24" spans="1:5">
      <c r="A24" t="s">
        <v>14</v>
      </c>
      <c r="B24">
        <v>3</v>
      </c>
      <c r="C24">
        <v>3</v>
      </c>
      <c r="D24">
        <f>13*5</f>
        <v>65</v>
      </c>
      <c r="E24" s="4">
        <v>0</v>
      </c>
    </row>
    <row r="25" spans="1:5">
      <c r="A25" t="s">
        <v>14</v>
      </c>
      <c r="B25">
        <v>3</v>
      </c>
      <c r="C25">
        <v>4</v>
      </c>
      <c r="D25">
        <f>41*5</f>
        <v>205</v>
      </c>
      <c r="E25" s="4">
        <v>0</v>
      </c>
    </row>
    <row r="26" spans="1:5">
      <c r="A26" t="s">
        <v>14</v>
      </c>
      <c r="B26">
        <v>3</v>
      </c>
      <c r="C26">
        <v>5</v>
      </c>
      <c r="D26">
        <v>50</v>
      </c>
      <c r="E26" s="4">
        <v>0</v>
      </c>
    </row>
    <row r="27" spans="1:5">
      <c r="A27" t="s">
        <v>14</v>
      </c>
      <c r="B27">
        <v>3</v>
      </c>
      <c r="C27">
        <v>6</v>
      </c>
      <c r="D27">
        <f>52*5</f>
        <v>260</v>
      </c>
      <c r="E27" s="4">
        <v>0</v>
      </c>
    </row>
    <row r="28" spans="1:5">
      <c r="A28" t="s">
        <v>14</v>
      </c>
      <c r="B28">
        <v>3</v>
      </c>
      <c r="C28">
        <v>7</v>
      </c>
      <c r="D28">
        <f>32*5</f>
        <v>160</v>
      </c>
      <c r="E28" s="4">
        <v>0</v>
      </c>
    </row>
    <row r="29" spans="1:5">
      <c r="A29" t="s">
        <v>14</v>
      </c>
      <c r="B29">
        <v>3</v>
      </c>
      <c r="C29">
        <v>8</v>
      </c>
      <c r="D29">
        <f>18*5</f>
        <v>90</v>
      </c>
      <c r="E29" s="4">
        <v>0</v>
      </c>
    </row>
    <row r="30" spans="1:5">
      <c r="A30" t="s">
        <v>14</v>
      </c>
      <c r="B30">
        <v>3</v>
      </c>
      <c r="C30">
        <v>9</v>
      </c>
      <c r="D30">
        <f>28*5</f>
        <v>140</v>
      </c>
      <c r="E30" s="4">
        <v>0</v>
      </c>
    </row>
    <row r="31" spans="1:5">
      <c r="A31" t="s">
        <v>14</v>
      </c>
      <c r="B31">
        <v>3</v>
      </c>
      <c r="C31">
        <v>10</v>
      </c>
      <c r="D31">
        <f>37*5</f>
        <v>185</v>
      </c>
      <c r="E31" s="4">
        <v>0</v>
      </c>
    </row>
    <row r="32" spans="1:5">
      <c r="A32" t="s">
        <v>15</v>
      </c>
      <c r="B32">
        <v>4</v>
      </c>
      <c r="C32">
        <v>1</v>
      </c>
      <c r="D32">
        <f>7*5</f>
        <v>35</v>
      </c>
      <c r="E32" s="4">
        <v>0</v>
      </c>
    </row>
    <row r="33" spans="1:5">
      <c r="A33" t="s">
        <v>15</v>
      </c>
      <c r="B33">
        <v>4</v>
      </c>
      <c r="C33">
        <v>2</v>
      </c>
      <c r="D33">
        <v>5</v>
      </c>
      <c r="E33" s="4">
        <v>0</v>
      </c>
    </row>
    <row r="34" spans="1:5">
      <c r="A34" t="s">
        <v>15</v>
      </c>
      <c r="B34">
        <v>4</v>
      </c>
      <c r="C34">
        <v>3</v>
      </c>
      <c r="D34">
        <v>5</v>
      </c>
      <c r="E34" s="4">
        <v>0</v>
      </c>
    </row>
    <row r="35" spans="1:5">
      <c r="A35" t="s">
        <v>15</v>
      </c>
      <c r="B35">
        <v>4</v>
      </c>
      <c r="C35">
        <v>4</v>
      </c>
      <c r="D35">
        <v>35</v>
      </c>
      <c r="E35" s="4">
        <v>0</v>
      </c>
    </row>
    <row r="36" spans="1:5">
      <c r="A36" t="s">
        <v>15</v>
      </c>
      <c r="B36">
        <v>4</v>
      </c>
      <c r="C36">
        <v>5</v>
      </c>
      <c r="D36">
        <v>20</v>
      </c>
      <c r="E36" s="4">
        <v>0</v>
      </c>
    </row>
    <row r="37" spans="1:5">
      <c r="A37" t="s">
        <v>15</v>
      </c>
      <c r="B37">
        <v>4</v>
      </c>
      <c r="C37">
        <v>6</v>
      </c>
      <c r="D37">
        <v>30</v>
      </c>
      <c r="E37" s="4">
        <v>0</v>
      </c>
    </row>
    <row r="38" spans="1:5">
      <c r="A38" t="s">
        <v>15</v>
      </c>
      <c r="B38">
        <v>4</v>
      </c>
      <c r="C38">
        <v>7</v>
      </c>
      <c r="D38">
        <v>0</v>
      </c>
      <c r="E38" s="4">
        <v>0</v>
      </c>
    </row>
    <row r="39" spans="1:5">
      <c r="A39" t="s">
        <v>15</v>
      </c>
      <c r="B39">
        <v>4</v>
      </c>
      <c r="C39">
        <v>8</v>
      </c>
      <c r="D39">
        <v>0</v>
      </c>
      <c r="E39" s="4">
        <v>0</v>
      </c>
    </row>
    <row r="40" spans="1:5">
      <c r="A40" t="s">
        <v>15</v>
      </c>
      <c r="B40">
        <v>4</v>
      </c>
      <c r="C40">
        <v>9</v>
      </c>
      <c r="D40">
        <v>0</v>
      </c>
      <c r="E40" s="4">
        <v>0</v>
      </c>
    </row>
    <row r="41" spans="1:5">
      <c r="A41" t="s">
        <v>15</v>
      </c>
      <c r="B41">
        <v>4</v>
      </c>
      <c r="C41">
        <v>10</v>
      </c>
      <c r="D41">
        <v>20</v>
      </c>
      <c r="E41" s="4">
        <v>0</v>
      </c>
    </row>
    <row r="42" spans="1:5">
      <c r="A42" t="s">
        <v>47</v>
      </c>
      <c r="B42">
        <v>5</v>
      </c>
      <c r="C42">
        <v>1</v>
      </c>
      <c r="D42">
        <v>0</v>
      </c>
      <c r="E42">
        <v>0</v>
      </c>
    </row>
    <row r="43" spans="1:5">
      <c r="A43" t="s">
        <v>47</v>
      </c>
      <c r="B43">
        <v>5</v>
      </c>
      <c r="C43">
        <v>2</v>
      </c>
      <c r="D43">
        <v>0</v>
      </c>
      <c r="E43">
        <v>0</v>
      </c>
    </row>
    <row r="44" spans="1:5">
      <c r="A44" t="s">
        <v>47</v>
      </c>
      <c r="B44">
        <v>5</v>
      </c>
      <c r="C44">
        <v>3</v>
      </c>
      <c r="D44">
        <v>18</v>
      </c>
      <c r="E44">
        <v>0</v>
      </c>
    </row>
    <row r="45" spans="1:5">
      <c r="A45" t="s">
        <v>47</v>
      </c>
      <c r="B45">
        <v>5</v>
      </c>
      <c r="C45">
        <v>4</v>
      </c>
      <c r="D45">
        <v>0</v>
      </c>
      <c r="E45">
        <v>0</v>
      </c>
    </row>
    <row r="46" spans="1:5">
      <c r="A46" t="s">
        <v>47</v>
      </c>
      <c r="B46">
        <v>5</v>
      </c>
      <c r="C46">
        <v>5</v>
      </c>
      <c r="D46">
        <v>0</v>
      </c>
      <c r="E46">
        <v>0</v>
      </c>
    </row>
    <row r="47" spans="1:5">
      <c r="A47" t="s">
        <v>47</v>
      </c>
      <c r="B47">
        <v>5</v>
      </c>
      <c r="C47">
        <v>6</v>
      </c>
      <c r="D47">
        <v>0</v>
      </c>
      <c r="E47">
        <v>0</v>
      </c>
    </row>
    <row r="48" spans="1:5">
      <c r="A48" t="s">
        <v>47</v>
      </c>
      <c r="B48">
        <v>5</v>
      </c>
      <c r="C48">
        <v>7</v>
      </c>
      <c r="D48">
        <v>0</v>
      </c>
      <c r="E48">
        <v>0</v>
      </c>
    </row>
    <row r="49" spans="1:5">
      <c r="A49" t="s">
        <v>47</v>
      </c>
      <c r="B49">
        <v>5</v>
      </c>
      <c r="C49">
        <v>8</v>
      </c>
      <c r="D49">
        <v>0</v>
      </c>
      <c r="E49">
        <v>0</v>
      </c>
    </row>
    <row r="50" spans="1:5">
      <c r="A50" t="s">
        <v>47</v>
      </c>
      <c r="B50">
        <v>5</v>
      </c>
      <c r="C50">
        <v>9</v>
      </c>
      <c r="D50">
        <v>0</v>
      </c>
      <c r="E50">
        <v>0</v>
      </c>
    </row>
    <row r="51" spans="1:5">
      <c r="A51" t="s">
        <v>47</v>
      </c>
      <c r="B51">
        <v>5</v>
      </c>
      <c r="C51">
        <v>10</v>
      </c>
      <c r="D51">
        <v>0</v>
      </c>
      <c r="E51">
        <v>0</v>
      </c>
    </row>
    <row r="52" spans="1:5">
      <c r="A52" t="s">
        <v>16</v>
      </c>
      <c r="B52">
        <v>6</v>
      </c>
      <c r="C52">
        <v>1</v>
      </c>
      <c r="D52">
        <f>25*5</f>
        <v>125</v>
      </c>
      <c r="E52">
        <v>0</v>
      </c>
    </row>
    <row r="53" spans="1:5">
      <c r="A53" t="s">
        <v>16</v>
      </c>
      <c r="B53">
        <v>6</v>
      </c>
      <c r="C53">
        <v>2</v>
      </c>
      <c r="D53">
        <f>15*5</f>
        <v>75</v>
      </c>
      <c r="E53">
        <v>0</v>
      </c>
    </row>
    <row r="54" spans="1:5">
      <c r="A54" t="s">
        <v>16</v>
      </c>
      <c r="B54">
        <v>6</v>
      </c>
      <c r="C54">
        <v>3</v>
      </c>
      <c r="D54">
        <f>40*5</f>
        <v>200</v>
      </c>
      <c r="E54">
        <v>0</v>
      </c>
    </row>
    <row r="55" spans="1:5">
      <c r="A55" t="s">
        <v>16</v>
      </c>
      <c r="B55">
        <v>6</v>
      </c>
      <c r="C55">
        <v>4</v>
      </c>
      <c r="D55">
        <f>35*5</f>
        <v>175</v>
      </c>
      <c r="E55">
        <f>22*5</f>
        <v>110</v>
      </c>
    </row>
    <row r="56" spans="1:5">
      <c r="A56" t="s">
        <v>16</v>
      </c>
      <c r="B56">
        <v>6</v>
      </c>
      <c r="C56">
        <v>5</v>
      </c>
      <c r="D56">
        <v>0</v>
      </c>
      <c r="E56">
        <v>0</v>
      </c>
    </row>
    <row r="57" spans="1:5">
      <c r="A57" t="s">
        <v>16</v>
      </c>
      <c r="B57">
        <v>6</v>
      </c>
      <c r="C57">
        <v>6</v>
      </c>
      <c r="D57">
        <f>13*5</f>
        <v>65</v>
      </c>
      <c r="E57">
        <v>0</v>
      </c>
    </row>
    <row r="58" spans="1:5">
      <c r="A58" t="s">
        <v>16</v>
      </c>
      <c r="B58">
        <v>6</v>
      </c>
      <c r="C58">
        <v>7</v>
      </c>
      <c r="D58">
        <f>18*5</f>
        <v>90</v>
      </c>
      <c r="E58">
        <f>17*5</f>
        <v>85</v>
      </c>
    </row>
    <row r="59" spans="1:5">
      <c r="A59" t="s">
        <v>16</v>
      </c>
      <c r="B59">
        <v>6</v>
      </c>
      <c r="C59">
        <v>8</v>
      </c>
      <c r="D59">
        <f>20*5</f>
        <v>100</v>
      </c>
      <c r="E59">
        <v>0</v>
      </c>
    </row>
    <row r="60" spans="1:5">
      <c r="A60" t="s">
        <v>16</v>
      </c>
      <c r="B60">
        <v>6</v>
      </c>
      <c r="C60">
        <v>9</v>
      </c>
      <c r="D60">
        <f>33*5</f>
        <v>165</v>
      </c>
      <c r="E60">
        <v>0</v>
      </c>
    </row>
    <row r="61" spans="1:5">
      <c r="A61" t="s">
        <v>16</v>
      </c>
      <c r="B61">
        <v>6</v>
      </c>
      <c r="C61">
        <v>10</v>
      </c>
      <c r="D61">
        <v>0</v>
      </c>
      <c r="E61">
        <v>0</v>
      </c>
    </row>
    <row r="62" spans="1:5">
      <c r="A62" t="s">
        <v>17</v>
      </c>
      <c r="B62">
        <v>7</v>
      </c>
      <c r="C62">
        <v>1</v>
      </c>
      <c r="D62">
        <f>10*5</f>
        <v>50</v>
      </c>
      <c r="E62">
        <v>0</v>
      </c>
    </row>
    <row r="63" spans="1:5">
      <c r="A63" t="s">
        <v>17</v>
      </c>
      <c r="B63">
        <v>7</v>
      </c>
      <c r="C63">
        <v>2</v>
      </c>
      <c r="D63">
        <f>11*5</f>
        <v>55</v>
      </c>
      <c r="E63">
        <v>0</v>
      </c>
    </row>
    <row r="64" spans="1:5">
      <c r="A64" t="s">
        <v>17</v>
      </c>
      <c r="B64">
        <v>7</v>
      </c>
      <c r="C64">
        <v>3</v>
      </c>
      <c r="D64">
        <v>40</v>
      </c>
      <c r="E64">
        <v>0</v>
      </c>
    </row>
    <row r="65" spans="1:5">
      <c r="A65" t="s">
        <v>17</v>
      </c>
      <c r="B65">
        <v>7</v>
      </c>
      <c r="C65">
        <v>4</v>
      </c>
      <c r="D65">
        <v>0</v>
      </c>
      <c r="E65">
        <v>0</v>
      </c>
    </row>
    <row r="66" spans="1:5">
      <c r="A66" t="s">
        <v>17</v>
      </c>
      <c r="B66">
        <v>7</v>
      </c>
      <c r="C66">
        <v>5</v>
      </c>
      <c r="D66">
        <f>28*5</f>
        <v>140</v>
      </c>
      <c r="E66">
        <v>0</v>
      </c>
    </row>
    <row r="67" spans="1:5">
      <c r="A67" t="s">
        <v>17</v>
      </c>
      <c r="B67">
        <v>7</v>
      </c>
      <c r="C67">
        <v>6</v>
      </c>
      <c r="D67">
        <f>30*5</f>
        <v>150</v>
      </c>
      <c r="E67">
        <v>0</v>
      </c>
    </row>
    <row r="68" spans="1:5">
      <c r="A68" t="s">
        <v>17</v>
      </c>
      <c r="B68">
        <v>7</v>
      </c>
      <c r="C68">
        <v>7</v>
      </c>
      <c r="D68">
        <f>32*5</f>
        <v>160</v>
      </c>
      <c r="E68">
        <v>0</v>
      </c>
    </row>
    <row r="69" spans="1:5">
      <c r="A69" t="s">
        <v>17</v>
      </c>
      <c r="B69">
        <v>7</v>
      </c>
      <c r="C69">
        <v>8</v>
      </c>
      <c r="D69">
        <f>27*5</f>
        <v>135</v>
      </c>
      <c r="E69">
        <v>0</v>
      </c>
    </row>
    <row r="70" spans="1:5">
      <c r="A70" t="s">
        <v>17</v>
      </c>
      <c r="B70">
        <v>7</v>
      </c>
      <c r="C70">
        <v>9</v>
      </c>
      <c r="D70">
        <f>45*5</f>
        <v>225</v>
      </c>
      <c r="E70">
        <f>14*5</f>
        <v>70</v>
      </c>
    </row>
    <row r="71" spans="1:5">
      <c r="A71" t="s">
        <v>17</v>
      </c>
      <c r="B71">
        <v>7</v>
      </c>
      <c r="C71">
        <v>10</v>
      </c>
      <c r="D71">
        <f>23*5</f>
        <v>115</v>
      </c>
      <c r="E71">
        <f>29*5</f>
        <v>145</v>
      </c>
    </row>
    <row r="72" spans="1:5">
      <c r="A72" t="s">
        <v>48</v>
      </c>
      <c r="B72">
        <v>8</v>
      </c>
      <c r="C72">
        <v>1</v>
      </c>
      <c r="D72">
        <f>33+15</f>
        <v>48</v>
      </c>
      <c r="E72">
        <v>13</v>
      </c>
    </row>
    <row r="73" spans="1:5">
      <c r="A73" t="s">
        <v>48</v>
      </c>
      <c r="B73">
        <v>8</v>
      </c>
      <c r="C73">
        <v>2</v>
      </c>
      <c r="D73">
        <v>6</v>
      </c>
      <c r="E73">
        <v>0</v>
      </c>
    </row>
    <row r="74" spans="1:5">
      <c r="A74" t="s">
        <v>48</v>
      </c>
      <c r="B74">
        <v>8</v>
      </c>
      <c r="C74">
        <v>3</v>
      </c>
      <c r="D74">
        <v>62</v>
      </c>
      <c r="E74">
        <v>88</v>
      </c>
    </row>
    <row r="75" spans="1:5">
      <c r="A75" t="s">
        <v>48</v>
      </c>
      <c r="B75">
        <v>8</v>
      </c>
      <c r="C75">
        <v>4</v>
      </c>
      <c r="D75">
        <v>10</v>
      </c>
      <c r="E75">
        <v>0</v>
      </c>
    </row>
    <row r="76" spans="1:5">
      <c r="A76" t="s">
        <v>48</v>
      </c>
      <c r="B76">
        <v>8</v>
      </c>
      <c r="C76">
        <v>5</v>
      </c>
      <c r="D76">
        <v>67</v>
      </c>
      <c r="E76">
        <v>0</v>
      </c>
    </row>
    <row r="77" spans="1:5">
      <c r="A77" t="s">
        <v>48</v>
      </c>
      <c r="B77">
        <v>8</v>
      </c>
      <c r="C77">
        <v>6</v>
      </c>
      <c r="D77">
        <v>35</v>
      </c>
      <c r="E77">
        <v>0</v>
      </c>
    </row>
    <row r="78" spans="1:5">
      <c r="A78" t="s">
        <v>48</v>
      </c>
      <c r="B78">
        <v>8</v>
      </c>
      <c r="C78">
        <v>7</v>
      </c>
      <c r="D78">
        <v>87</v>
      </c>
      <c r="E78">
        <v>0</v>
      </c>
    </row>
    <row r="79" spans="1:5">
      <c r="A79" t="s">
        <v>48</v>
      </c>
      <c r="B79">
        <v>8</v>
      </c>
      <c r="C79">
        <v>8</v>
      </c>
      <c r="D79">
        <v>22</v>
      </c>
      <c r="E79">
        <v>0</v>
      </c>
    </row>
    <row r="80" spans="1:5">
      <c r="A80" t="s">
        <v>48</v>
      </c>
      <c r="B80">
        <v>8</v>
      </c>
      <c r="C80">
        <v>9</v>
      </c>
      <c r="D80">
        <f>22+39</f>
        <v>61</v>
      </c>
      <c r="E80">
        <v>0</v>
      </c>
    </row>
    <row r="81" spans="1:5">
      <c r="A81" t="s">
        <v>48</v>
      </c>
      <c r="B81">
        <v>8</v>
      </c>
      <c r="C81">
        <v>10</v>
      </c>
      <c r="D81">
        <v>29</v>
      </c>
      <c r="E81">
        <v>0</v>
      </c>
    </row>
    <row r="82" spans="1:5">
      <c r="A82" t="s">
        <v>49</v>
      </c>
      <c r="B82">
        <v>9</v>
      </c>
      <c r="C82">
        <v>1</v>
      </c>
      <c r="D82">
        <f>180+14+38</f>
        <v>232</v>
      </c>
      <c r="E82">
        <v>0</v>
      </c>
    </row>
    <row r="83" spans="1:5">
      <c r="A83" t="s">
        <v>49</v>
      </c>
      <c r="B83">
        <v>9</v>
      </c>
      <c r="C83">
        <v>2</v>
      </c>
      <c r="D83">
        <f>14+120+54</f>
        <v>188</v>
      </c>
      <c r="E83">
        <f>60+3+42</f>
        <v>105</v>
      </c>
    </row>
    <row r="84" spans="1:5">
      <c r="A84" t="s">
        <v>49</v>
      </c>
      <c r="B84">
        <v>9</v>
      </c>
      <c r="C84">
        <v>3</v>
      </c>
      <c r="D84">
        <v>0</v>
      </c>
      <c r="E84">
        <v>0</v>
      </c>
    </row>
    <row r="85" spans="1:5">
      <c r="A85" t="s">
        <v>49</v>
      </c>
      <c r="B85">
        <v>9</v>
      </c>
      <c r="C85">
        <v>4</v>
      </c>
      <c r="D85">
        <f>180+27+16</f>
        <v>223</v>
      </c>
      <c r="E85">
        <v>5</v>
      </c>
    </row>
    <row r="86" spans="1:5">
      <c r="A86" t="s">
        <v>49</v>
      </c>
      <c r="B86">
        <v>9</v>
      </c>
      <c r="C86">
        <v>5</v>
      </c>
      <c r="D86">
        <f>120+44+20</f>
        <v>184</v>
      </c>
      <c r="E86">
        <v>0</v>
      </c>
    </row>
    <row r="87" spans="1:5">
      <c r="A87" t="s">
        <v>49</v>
      </c>
      <c r="B87">
        <v>9</v>
      </c>
      <c r="C87">
        <v>6</v>
      </c>
      <c r="D87">
        <f>120+50+16</f>
        <v>186</v>
      </c>
      <c r="E87">
        <f>60+47</f>
        <v>107</v>
      </c>
    </row>
    <row r="88" spans="1:5">
      <c r="A88" t="s">
        <v>49</v>
      </c>
      <c r="B88">
        <v>9</v>
      </c>
      <c r="C88">
        <v>7</v>
      </c>
      <c r="D88">
        <f>60+42+23</f>
        <v>125</v>
      </c>
      <c r="E88">
        <v>0</v>
      </c>
    </row>
    <row r="89" spans="1:5">
      <c r="A89" t="s">
        <v>49</v>
      </c>
      <c r="B89">
        <v>9</v>
      </c>
      <c r="C89">
        <v>8</v>
      </c>
      <c r="D89">
        <f>120+24+7</f>
        <v>151</v>
      </c>
      <c r="E89">
        <v>0</v>
      </c>
    </row>
    <row r="90" spans="1:5">
      <c r="A90" t="s">
        <v>49</v>
      </c>
      <c r="B90">
        <v>9</v>
      </c>
      <c r="C90">
        <v>9</v>
      </c>
      <c r="D90">
        <v>98</v>
      </c>
      <c r="E90">
        <v>158</v>
      </c>
    </row>
    <row r="91" spans="1:5">
      <c r="A91" t="s">
        <v>49</v>
      </c>
      <c r="B91">
        <v>9</v>
      </c>
      <c r="C91">
        <v>10</v>
      </c>
      <c r="D91">
        <f>120+23+13</f>
        <v>156</v>
      </c>
      <c r="E91">
        <f>29+17</f>
        <v>46</v>
      </c>
    </row>
    <row r="92" spans="1:5">
      <c r="A92" t="s">
        <v>18</v>
      </c>
      <c r="B92">
        <v>10</v>
      </c>
      <c r="C92">
        <v>1</v>
      </c>
      <c r="D92">
        <f>26*5</f>
        <v>130</v>
      </c>
      <c r="E92">
        <v>0</v>
      </c>
    </row>
    <row r="93" spans="1:5">
      <c r="A93" t="s">
        <v>18</v>
      </c>
      <c r="B93">
        <v>10</v>
      </c>
      <c r="C93">
        <v>2</v>
      </c>
      <c r="D93">
        <f>57*5</f>
        <v>285</v>
      </c>
      <c r="E93">
        <f>34*5</f>
        <v>170</v>
      </c>
    </row>
    <row r="94" spans="1:5">
      <c r="A94" t="s">
        <v>18</v>
      </c>
      <c r="B94">
        <v>10</v>
      </c>
      <c r="C94">
        <v>3</v>
      </c>
      <c r="D94">
        <f>25*5</f>
        <v>125</v>
      </c>
      <c r="E94">
        <v>0</v>
      </c>
    </row>
    <row r="95" spans="1:5">
      <c r="A95" t="s">
        <v>18</v>
      </c>
      <c r="B95">
        <v>10</v>
      </c>
      <c r="C95">
        <v>4</v>
      </c>
      <c r="D95">
        <f>45*5</f>
        <v>225</v>
      </c>
      <c r="E95">
        <v>0</v>
      </c>
    </row>
    <row r="96" spans="1:5">
      <c r="A96" t="s">
        <v>18</v>
      </c>
      <c r="B96">
        <v>10</v>
      </c>
      <c r="C96">
        <v>5</v>
      </c>
      <c r="D96">
        <f>50*5</f>
        <v>250</v>
      </c>
      <c r="E96">
        <v>5</v>
      </c>
    </row>
    <row r="97" spans="1:5">
      <c r="A97" t="s">
        <v>18</v>
      </c>
      <c r="B97">
        <v>10</v>
      </c>
      <c r="C97">
        <v>6</v>
      </c>
      <c r="D97">
        <f>33*5</f>
        <v>165</v>
      </c>
      <c r="E97">
        <v>0</v>
      </c>
    </row>
    <row r="98" spans="1:5">
      <c r="A98" t="s">
        <v>18</v>
      </c>
      <c r="B98">
        <v>10</v>
      </c>
      <c r="C98">
        <v>7</v>
      </c>
      <c r="D98">
        <f>300-139</f>
        <v>161</v>
      </c>
      <c r="E98">
        <v>0</v>
      </c>
    </row>
    <row r="99" spans="1:5">
      <c r="A99" t="s">
        <v>18</v>
      </c>
      <c r="B99">
        <v>10</v>
      </c>
      <c r="C99">
        <v>8</v>
      </c>
      <c r="D99">
        <f>124+5+16</f>
        <v>145</v>
      </c>
      <c r="E99">
        <v>0</v>
      </c>
    </row>
    <row r="100" spans="1:5">
      <c r="A100" t="s">
        <v>18</v>
      </c>
      <c r="B100">
        <v>10</v>
      </c>
      <c r="C100">
        <v>9</v>
      </c>
      <c r="D100">
        <f>179+18</f>
        <v>197</v>
      </c>
      <c r="E100">
        <v>0</v>
      </c>
    </row>
    <row r="101" spans="1:5">
      <c r="A101" t="s">
        <v>18</v>
      </c>
      <c r="B101">
        <v>10</v>
      </c>
      <c r="C101">
        <v>10</v>
      </c>
      <c r="D101">
        <f>126+81</f>
        <v>207</v>
      </c>
      <c r="E101">
        <v>0</v>
      </c>
    </row>
    <row r="102" spans="1:5">
      <c r="A102" t="s">
        <v>50</v>
      </c>
      <c r="B102">
        <v>11</v>
      </c>
      <c r="C102">
        <v>1</v>
      </c>
      <c r="D102">
        <f>19+24</f>
        <v>43</v>
      </c>
      <c r="E102">
        <v>0</v>
      </c>
    </row>
    <row r="103" spans="1:5">
      <c r="A103" t="s">
        <v>50</v>
      </c>
      <c r="B103">
        <v>11</v>
      </c>
      <c r="C103">
        <v>2</v>
      </c>
      <c r="D103">
        <f>120+27+5</f>
        <v>152</v>
      </c>
      <c r="E103">
        <v>0</v>
      </c>
    </row>
    <row r="104" spans="1:5">
      <c r="A104" t="s">
        <v>50</v>
      </c>
      <c r="B104">
        <v>11</v>
      </c>
      <c r="C104">
        <v>3</v>
      </c>
      <c r="D104">
        <f>2+29</f>
        <v>31</v>
      </c>
      <c r="E104">
        <v>0</v>
      </c>
    </row>
    <row r="105" spans="1:5">
      <c r="A105" t="s">
        <v>50</v>
      </c>
      <c r="B105">
        <v>11</v>
      </c>
      <c r="C105">
        <v>4</v>
      </c>
      <c r="D105">
        <v>32</v>
      </c>
      <c r="E105">
        <v>0</v>
      </c>
    </row>
    <row r="106" spans="1:5">
      <c r="A106" t="s">
        <v>50</v>
      </c>
      <c r="B106">
        <v>11</v>
      </c>
      <c r="C106">
        <v>5</v>
      </c>
      <c r="D106">
        <v>18</v>
      </c>
      <c r="E106">
        <v>0</v>
      </c>
    </row>
    <row r="107" spans="1:5">
      <c r="A107" t="s">
        <v>50</v>
      </c>
      <c r="B107">
        <v>11</v>
      </c>
      <c r="C107">
        <v>6</v>
      </c>
      <c r="D107">
        <f>60+23+13</f>
        <v>96</v>
      </c>
      <c r="E107">
        <v>0</v>
      </c>
    </row>
    <row r="108" spans="1:5">
      <c r="A108" t="s">
        <v>50</v>
      </c>
      <c r="B108">
        <v>11</v>
      </c>
      <c r="C108">
        <v>7</v>
      </c>
      <c r="D108">
        <f>60+40</f>
        <v>100</v>
      </c>
      <c r="E108">
        <v>0</v>
      </c>
    </row>
    <row r="109" spans="1:5">
      <c r="A109" t="s">
        <v>50</v>
      </c>
      <c r="B109">
        <v>11</v>
      </c>
      <c r="C109">
        <v>8</v>
      </c>
      <c r="D109">
        <f>58+20</f>
        <v>78</v>
      </c>
      <c r="E109">
        <v>0</v>
      </c>
    </row>
    <row r="110" spans="1:5">
      <c r="A110" t="s">
        <v>50</v>
      </c>
      <c r="B110">
        <v>11</v>
      </c>
      <c r="C110">
        <v>9</v>
      </c>
      <c r="D110">
        <f>120+26+10</f>
        <v>156</v>
      </c>
      <c r="E110">
        <v>0</v>
      </c>
    </row>
    <row r="111" spans="1:5">
      <c r="A111" t="s">
        <v>50</v>
      </c>
      <c r="B111">
        <v>11</v>
      </c>
      <c r="C111">
        <v>10</v>
      </c>
      <c r="D111">
        <f>60+45+29</f>
        <v>134</v>
      </c>
      <c r="E111">
        <v>96</v>
      </c>
    </row>
    <row r="112" spans="1:5">
      <c r="A112" t="s">
        <v>51</v>
      </c>
      <c r="B112">
        <v>12</v>
      </c>
      <c r="C112">
        <v>1</v>
      </c>
      <c r="D112">
        <v>154</v>
      </c>
      <c r="E112">
        <v>0</v>
      </c>
    </row>
    <row r="113" spans="1:5">
      <c r="A113" t="s">
        <v>51</v>
      </c>
      <c r="B113">
        <v>12</v>
      </c>
      <c r="C113">
        <v>2</v>
      </c>
      <c r="D113">
        <v>25</v>
      </c>
      <c r="E113">
        <v>6</v>
      </c>
    </row>
    <row r="114" spans="1:5">
      <c r="A114" t="s">
        <v>51</v>
      </c>
      <c r="B114">
        <v>12</v>
      </c>
      <c r="C114">
        <v>3</v>
      </c>
      <c r="D114">
        <v>172</v>
      </c>
      <c r="E114">
        <v>0</v>
      </c>
    </row>
    <row r="115" spans="1:5">
      <c r="A115" t="s">
        <v>51</v>
      </c>
      <c r="B115">
        <v>12</v>
      </c>
      <c r="C115">
        <v>4</v>
      </c>
      <c r="D115">
        <v>146</v>
      </c>
      <c r="E115">
        <v>10</v>
      </c>
    </row>
    <row r="116" spans="1:5">
      <c r="A116" t="s">
        <v>51</v>
      </c>
      <c r="B116">
        <v>12</v>
      </c>
      <c r="C116">
        <v>5</v>
      </c>
      <c r="D116">
        <v>0</v>
      </c>
      <c r="E116">
        <v>0</v>
      </c>
    </row>
    <row r="117" spans="1:5">
      <c r="A117" t="s">
        <v>51</v>
      </c>
      <c r="B117">
        <v>12</v>
      </c>
      <c r="C117">
        <v>6</v>
      </c>
      <c r="D117">
        <v>0</v>
      </c>
      <c r="E117">
        <v>4</v>
      </c>
    </row>
    <row r="118" spans="1:5">
      <c r="A118" t="s">
        <v>51</v>
      </c>
      <c r="B118">
        <v>12</v>
      </c>
      <c r="C118">
        <v>7</v>
      </c>
      <c r="D118">
        <v>9</v>
      </c>
      <c r="E118">
        <v>0</v>
      </c>
    </row>
    <row r="119" spans="1:5">
      <c r="A119" t="s">
        <v>51</v>
      </c>
      <c r="B119">
        <v>12</v>
      </c>
      <c r="C119">
        <v>8</v>
      </c>
      <c r="D119">
        <v>0</v>
      </c>
      <c r="E119">
        <v>0</v>
      </c>
    </row>
    <row r="120" spans="1:5">
      <c r="A120" t="s">
        <v>51</v>
      </c>
      <c r="B120">
        <v>12</v>
      </c>
      <c r="C120">
        <v>9</v>
      </c>
      <c r="D120">
        <v>16</v>
      </c>
      <c r="E120">
        <v>9</v>
      </c>
    </row>
    <row r="121" spans="1:5">
      <c r="A121" t="s">
        <v>51</v>
      </c>
      <c r="B121">
        <v>12</v>
      </c>
      <c r="C121">
        <v>10</v>
      </c>
      <c r="D121">
        <v>0</v>
      </c>
      <c r="E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4"/>
  <sheetViews>
    <sheetView topLeftCell="N15" workbookViewId="0">
      <selection activeCell="T58" sqref="T58"/>
    </sheetView>
  </sheetViews>
  <sheetFormatPr baseColWidth="10" defaultColWidth="10.6640625" defaultRowHeight="16"/>
  <cols>
    <col min="2" max="2" width="18.83203125" bestFit="1" customWidth="1"/>
    <col min="15" max="15" width="15.33203125" bestFit="1" customWidth="1"/>
    <col min="19" max="19" width="15.33203125" bestFit="1" customWidth="1"/>
  </cols>
  <sheetData>
    <row r="1" spans="1:37">
      <c r="A1" t="s">
        <v>65</v>
      </c>
      <c r="G1" t="s">
        <v>65</v>
      </c>
      <c r="P1" s="9" t="s">
        <v>55</v>
      </c>
    </row>
    <row r="2" spans="1:37">
      <c r="P2" t="s">
        <v>10</v>
      </c>
      <c r="Q2" t="s">
        <v>19</v>
      </c>
      <c r="R2" t="s">
        <v>21</v>
      </c>
      <c r="S2" t="s">
        <v>23</v>
      </c>
      <c r="T2" t="s">
        <v>25</v>
      </c>
      <c r="U2" t="s">
        <v>27</v>
      </c>
      <c r="V2" t="s">
        <v>29</v>
      </c>
      <c r="W2" t="s">
        <v>31</v>
      </c>
      <c r="X2" t="s">
        <v>33</v>
      </c>
      <c r="Y2" t="s">
        <v>35</v>
      </c>
      <c r="AB2" t="s">
        <v>11</v>
      </c>
      <c r="AC2" t="s">
        <v>20</v>
      </c>
      <c r="AD2" t="s">
        <v>22</v>
      </c>
      <c r="AE2" t="s">
        <v>24</v>
      </c>
      <c r="AF2" t="s">
        <v>26</v>
      </c>
      <c r="AG2" t="s">
        <v>28</v>
      </c>
      <c r="AH2" t="s">
        <v>30</v>
      </c>
      <c r="AI2" t="s">
        <v>32</v>
      </c>
      <c r="AJ2" t="s">
        <v>34</v>
      </c>
      <c r="AK2" t="s">
        <v>36</v>
      </c>
    </row>
    <row r="3" spans="1:37">
      <c r="A3" t="s">
        <v>0</v>
      </c>
      <c r="B3" t="s">
        <v>9</v>
      </c>
      <c r="C3" t="s">
        <v>6</v>
      </c>
      <c r="G3" t="s">
        <v>0</v>
      </c>
      <c r="H3" t="s">
        <v>9</v>
      </c>
      <c r="I3" t="s">
        <v>6</v>
      </c>
      <c r="O3" t="s">
        <v>12</v>
      </c>
      <c r="P3">
        <v>234</v>
      </c>
      <c r="Q3">
        <v>225</v>
      </c>
      <c r="R3">
        <v>229</v>
      </c>
      <c r="S3">
        <v>148</v>
      </c>
      <c r="T3">
        <v>46</v>
      </c>
      <c r="U3">
        <v>202</v>
      </c>
      <c r="V3">
        <v>93</v>
      </c>
      <c r="W3">
        <v>3</v>
      </c>
      <c r="X3">
        <v>8</v>
      </c>
      <c r="Y3">
        <v>17</v>
      </c>
      <c r="AA3" t="s">
        <v>12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>
        <v>1</v>
      </c>
      <c r="B4">
        <f>SUM(P3:Y3)</f>
        <v>1205</v>
      </c>
      <c r="C4">
        <f>SUM(AB3:AK3)</f>
        <v>0</v>
      </c>
      <c r="G4">
        <v>1</v>
      </c>
      <c r="H4">
        <f>AVERAGE(P3:Y3)</f>
        <v>120.5</v>
      </c>
      <c r="I4">
        <f>AVERAGE(AB3:AK3)</f>
        <v>0</v>
      </c>
      <c r="O4" t="s">
        <v>13</v>
      </c>
      <c r="P4">
        <v>150</v>
      </c>
      <c r="Q4">
        <v>145</v>
      </c>
      <c r="R4">
        <v>135</v>
      </c>
      <c r="S4">
        <v>200</v>
      </c>
      <c r="T4">
        <v>135</v>
      </c>
      <c r="U4">
        <v>134</v>
      </c>
      <c r="V4">
        <v>70</v>
      </c>
      <c r="W4">
        <v>175</v>
      </c>
      <c r="X4">
        <v>0</v>
      </c>
      <c r="Y4">
        <v>65</v>
      </c>
      <c r="AA4" t="s">
        <v>13</v>
      </c>
      <c r="AB4">
        <v>0</v>
      </c>
      <c r="AC4">
        <v>0</v>
      </c>
      <c r="AD4">
        <v>220</v>
      </c>
      <c r="AE4">
        <v>270</v>
      </c>
      <c r="AF4">
        <v>0</v>
      </c>
      <c r="AG4">
        <v>140</v>
      </c>
      <c r="AH4">
        <v>130</v>
      </c>
      <c r="AI4" s="4">
        <v>240</v>
      </c>
      <c r="AJ4">
        <v>0</v>
      </c>
      <c r="AK4">
        <v>0</v>
      </c>
    </row>
    <row r="5" spans="1:37">
      <c r="A5">
        <v>2</v>
      </c>
      <c r="B5">
        <f>SUM(P4:Y4)</f>
        <v>1209</v>
      </c>
      <c r="C5">
        <f t="shared" ref="C5:C15" si="0">SUM(AB4:AK4)</f>
        <v>1000</v>
      </c>
      <c r="G5">
        <v>2</v>
      </c>
      <c r="H5">
        <f>AVERAGE(P4:Y4)</f>
        <v>120.9</v>
      </c>
      <c r="I5">
        <f>AVERAGE(AB4:AK4)</f>
        <v>100</v>
      </c>
      <c r="O5" t="s">
        <v>14</v>
      </c>
      <c r="P5">
        <v>50</v>
      </c>
      <c r="Q5">
        <v>15</v>
      </c>
      <c r="R5">
        <v>65</v>
      </c>
      <c r="S5">
        <v>205</v>
      </c>
      <c r="T5">
        <v>50</v>
      </c>
      <c r="U5">
        <v>260</v>
      </c>
      <c r="V5">
        <v>160</v>
      </c>
      <c r="W5">
        <v>90</v>
      </c>
      <c r="X5">
        <v>140</v>
      </c>
      <c r="Y5">
        <v>185</v>
      </c>
      <c r="AA5" t="s">
        <v>14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>
        <v>3</v>
      </c>
      <c r="B6">
        <f t="shared" ref="B6:B15" si="1">SUM(P5:Y5)</f>
        <v>1220</v>
      </c>
      <c r="C6">
        <f t="shared" si="0"/>
        <v>0</v>
      </c>
      <c r="G6">
        <v>3</v>
      </c>
      <c r="H6">
        <f t="shared" ref="H6:H14" si="2">AVERAGE(P5:Y5)</f>
        <v>122</v>
      </c>
      <c r="I6">
        <f t="shared" ref="I6:I15" si="3">AVERAGE(AB5:AK5)</f>
        <v>0</v>
      </c>
      <c r="O6" t="s">
        <v>15</v>
      </c>
      <c r="P6">
        <v>11.6666666666667</v>
      </c>
      <c r="Q6">
        <v>1.6666666666666667</v>
      </c>
      <c r="R6">
        <v>1.6666666666666667</v>
      </c>
      <c r="S6">
        <v>11.666666666666666</v>
      </c>
      <c r="T6">
        <v>6.666666666666667</v>
      </c>
      <c r="U6">
        <v>10</v>
      </c>
      <c r="V6">
        <v>0</v>
      </c>
      <c r="W6">
        <v>0</v>
      </c>
      <c r="X6">
        <v>0</v>
      </c>
      <c r="Y6">
        <v>6.666666666666667</v>
      </c>
      <c r="AA6" t="s">
        <v>15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>
        <v>4</v>
      </c>
      <c r="B7">
        <f t="shared" si="1"/>
        <v>50.000000000000028</v>
      </c>
      <c r="C7">
        <f t="shared" si="0"/>
        <v>0</v>
      </c>
      <c r="G7">
        <v>4</v>
      </c>
      <c r="H7">
        <f t="shared" si="2"/>
        <v>5.0000000000000027</v>
      </c>
      <c r="I7">
        <f t="shared" si="3"/>
        <v>0</v>
      </c>
      <c r="O7" t="s">
        <v>47</v>
      </c>
      <c r="P7">
        <v>0</v>
      </c>
      <c r="Q7">
        <v>0</v>
      </c>
      <c r="R7">
        <v>18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t="s">
        <v>47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>
        <v>5</v>
      </c>
      <c r="B8">
        <f t="shared" si="1"/>
        <v>18</v>
      </c>
      <c r="C8">
        <f t="shared" si="0"/>
        <v>0</v>
      </c>
      <c r="G8">
        <v>5</v>
      </c>
      <c r="H8">
        <f t="shared" si="2"/>
        <v>1.8</v>
      </c>
      <c r="I8">
        <f t="shared" si="3"/>
        <v>0</v>
      </c>
      <c r="O8" t="s">
        <v>16</v>
      </c>
      <c r="P8">
        <v>125</v>
      </c>
      <c r="Q8">
        <v>75</v>
      </c>
      <c r="R8">
        <v>200</v>
      </c>
      <c r="S8">
        <v>175</v>
      </c>
      <c r="T8">
        <v>0</v>
      </c>
      <c r="U8">
        <v>65</v>
      </c>
      <c r="V8">
        <v>90</v>
      </c>
      <c r="W8">
        <v>100</v>
      </c>
      <c r="X8">
        <v>165</v>
      </c>
      <c r="Y8">
        <v>0</v>
      </c>
      <c r="AA8" t="s">
        <v>16</v>
      </c>
      <c r="AB8">
        <v>0</v>
      </c>
      <c r="AC8">
        <v>0</v>
      </c>
      <c r="AD8">
        <v>0</v>
      </c>
      <c r="AE8">
        <f>22*5</f>
        <v>110</v>
      </c>
      <c r="AF8">
        <v>0</v>
      </c>
      <c r="AG8">
        <v>0</v>
      </c>
      <c r="AH8">
        <f>17*5</f>
        <v>85</v>
      </c>
      <c r="AI8">
        <v>0</v>
      </c>
      <c r="AJ8">
        <v>0</v>
      </c>
      <c r="AK8">
        <v>0</v>
      </c>
    </row>
    <row r="9" spans="1:37">
      <c r="A9">
        <v>6</v>
      </c>
      <c r="B9">
        <f t="shared" si="1"/>
        <v>995</v>
      </c>
      <c r="C9">
        <f t="shared" si="0"/>
        <v>195</v>
      </c>
      <c r="G9">
        <v>6</v>
      </c>
      <c r="H9">
        <f t="shared" si="2"/>
        <v>99.5</v>
      </c>
      <c r="I9">
        <f t="shared" si="3"/>
        <v>19.5</v>
      </c>
      <c r="O9" t="s">
        <v>17</v>
      </c>
      <c r="P9">
        <v>50</v>
      </c>
      <c r="Q9">
        <v>55</v>
      </c>
      <c r="R9">
        <v>40</v>
      </c>
      <c r="S9">
        <v>0</v>
      </c>
      <c r="T9">
        <v>140</v>
      </c>
      <c r="U9">
        <v>150</v>
      </c>
      <c r="V9">
        <v>160</v>
      </c>
      <c r="W9">
        <v>135</v>
      </c>
      <c r="X9">
        <v>225</v>
      </c>
      <c r="Y9">
        <v>115</v>
      </c>
      <c r="AA9" t="s">
        <v>17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70</v>
      </c>
      <c r="AK9">
        <v>145</v>
      </c>
    </row>
    <row r="10" spans="1:37">
      <c r="A10">
        <v>7</v>
      </c>
      <c r="B10">
        <f t="shared" si="1"/>
        <v>1070</v>
      </c>
      <c r="C10">
        <f t="shared" si="0"/>
        <v>215</v>
      </c>
      <c r="G10">
        <v>7</v>
      </c>
      <c r="H10">
        <f t="shared" si="2"/>
        <v>107</v>
      </c>
      <c r="I10">
        <f t="shared" si="3"/>
        <v>21.5</v>
      </c>
      <c r="O10" t="s">
        <v>48</v>
      </c>
      <c r="P10">
        <v>48</v>
      </c>
      <c r="Q10">
        <v>6</v>
      </c>
      <c r="R10">
        <v>62</v>
      </c>
      <c r="S10">
        <v>10</v>
      </c>
      <c r="T10">
        <v>67</v>
      </c>
      <c r="U10">
        <v>35</v>
      </c>
      <c r="V10">
        <v>87</v>
      </c>
      <c r="W10">
        <v>22</v>
      </c>
      <c r="X10">
        <v>61</v>
      </c>
      <c r="Y10">
        <v>29</v>
      </c>
      <c r="AA10" t="s">
        <v>48</v>
      </c>
      <c r="AB10">
        <v>13</v>
      </c>
      <c r="AC10">
        <v>0</v>
      </c>
      <c r="AD10">
        <v>88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>
        <v>8</v>
      </c>
      <c r="B11">
        <f t="shared" si="1"/>
        <v>427</v>
      </c>
      <c r="C11">
        <f t="shared" si="0"/>
        <v>101</v>
      </c>
      <c r="G11">
        <v>8</v>
      </c>
      <c r="H11">
        <f t="shared" si="2"/>
        <v>42.7</v>
      </c>
      <c r="I11">
        <f t="shared" si="3"/>
        <v>10.1</v>
      </c>
      <c r="O11" t="s">
        <v>49</v>
      </c>
      <c r="P11">
        <v>232</v>
      </c>
      <c r="Q11">
        <v>188</v>
      </c>
      <c r="R11">
        <v>0</v>
      </c>
      <c r="S11">
        <v>223</v>
      </c>
      <c r="T11">
        <v>184</v>
      </c>
      <c r="U11">
        <v>186</v>
      </c>
      <c r="V11">
        <v>125</v>
      </c>
      <c r="W11">
        <v>151</v>
      </c>
      <c r="X11">
        <v>98</v>
      </c>
      <c r="Y11">
        <v>156</v>
      </c>
      <c r="AA11" t="s">
        <v>49</v>
      </c>
      <c r="AB11">
        <v>0</v>
      </c>
      <c r="AC11">
        <v>105</v>
      </c>
      <c r="AD11">
        <v>0</v>
      </c>
      <c r="AE11">
        <v>5</v>
      </c>
      <c r="AF11">
        <v>0</v>
      </c>
      <c r="AG11">
        <v>107</v>
      </c>
      <c r="AH11">
        <v>0</v>
      </c>
      <c r="AI11">
        <v>0</v>
      </c>
      <c r="AJ11">
        <v>158</v>
      </c>
      <c r="AK11">
        <v>46</v>
      </c>
    </row>
    <row r="12" spans="1:37">
      <c r="A12">
        <v>9</v>
      </c>
      <c r="B12">
        <f t="shared" si="1"/>
        <v>1543</v>
      </c>
      <c r="C12">
        <f t="shared" si="0"/>
        <v>421</v>
      </c>
      <c r="G12">
        <v>9</v>
      </c>
      <c r="H12">
        <f t="shared" si="2"/>
        <v>154.30000000000001</v>
      </c>
      <c r="I12">
        <f t="shared" si="3"/>
        <v>42.1</v>
      </c>
      <c r="O12" t="s">
        <v>18</v>
      </c>
      <c r="P12">
        <v>130</v>
      </c>
      <c r="Q12">
        <v>285</v>
      </c>
      <c r="R12">
        <v>125</v>
      </c>
      <c r="S12">
        <v>225</v>
      </c>
      <c r="T12">
        <v>250</v>
      </c>
      <c r="U12">
        <v>165</v>
      </c>
      <c r="V12">
        <v>161</v>
      </c>
      <c r="W12">
        <v>145</v>
      </c>
      <c r="X12">
        <v>197</v>
      </c>
      <c r="Y12">
        <v>207</v>
      </c>
      <c r="AA12" t="s">
        <v>18</v>
      </c>
      <c r="AB12">
        <v>0</v>
      </c>
      <c r="AC12">
        <v>170</v>
      </c>
      <c r="AD12">
        <v>0</v>
      </c>
      <c r="AE12">
        <v>0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>
        <v>10</v>
      </c>
      <c r="B13">
        <f t="shared" si="1"/>
        <v>1890</v>
      </c>
      <c r="C13">
        <f t="shared" si="0"/>
        <v>175</v>
      </c>
      <c r="G13">
        <v>10</v>
      </c>
      <c r="H13">
        <f t="shared" si="2"/>
        <v>189</v>
      </c>
      <c r="I13">
        <f t="shared" si="3"/>
        <v>17.5</v>
      </c>
      <c r="O13" t="s">
        <v>50</v>
      </c>
      <c r="P13">
        <v>43</v>
      </c>
      <c r="Q13">
        <v>152</v>
      </c>
      <c r="R13">
        <v>31</v>
      </c>
      <c r="S13">
        <v>32</v>
      </c>
      <c r="T13">
        <v>18</v>
      </c>
      <c r="U13">
        <v>96</v>
      </c>
      <c r="V13">
        <v>100</v>
      </c>
      <c r="W13">
        <v>78</v>
      </c>
      <c r="X13">
        <v>156</v>
      </c>
      <c r="Y13">
        <v>134</v>
      </c>
      <c r="AA13" t="s">
        <v>50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96</v>
      </c>
    </row>
    <row r="14" spans="1:37">
      <c r="A14" s="1">
        <v>11</v>
      </c>
      <c r="B14">
        <f t="shared" si="1"/>
        <v>840</v>
      </c>
      <c r="C14">
        <f t="shared" si="0"/>
        <v>96</v>
      </c>
      <c r="G14" s="1">
        <v>11</v>
      </c>
      <c r="H14">
        <f t="shared" si="2"/>
        <v>84</v>
      </c>
      <c r="I14">
        <f t="shared" si="3"/>
        <v>9.6</v>
      </c>
      <c r="O14" t="s">
        <v>51</v>
      </c>
      <c r="P14">
        <v>154</v>
      </c>
      <c r="Q14">
        <v>25</v>
      </c>
      <c r="R14">
        <v>172</v>
      </c>
      <c r="S14">
        <v>146</v>
      </c>
      <c r="T14">
        <v>0</v>
      </c>
      <c r="U14">
        <v>0</v>
      </c>
      <c r="V14">
        <v>9</v>
      </c>
      <c r="W14">
        <v>0</v>
      </c>
      <c r="X14">
        <v>16</v>
      </c>
      <c r="Y14">
        <v>0</v>
      </c>
      <c r="AA14" t="s">
        <v>51</v>
      </c>
      <c r="AB14">
        <v>0</v>
      </c>
      <c r="AC14">
        <v>6</v>
      </c>
      <c r="AD14">
        <v>0</v>
      </c>
      <c r="AE14">
        <v>10</v>
      </c>
      <c r="AF14">
        <v>0</v>
      </c>
      <c r="AG14">
        <v>4</v>
      </c>
      <c r="AH14">
        <v>0</v>
      </c>
      <c r="AI14">
        <v>0</v>
      </c>
      <c r="AJ14">
        <v>9</v>
      </c>
      <c r="AK14">
        <v>0</v>
      </c>
    </row>
    <row r="15" spans="1:37">
      <c r="A15" s="1">
        <v>12</v>
      </c>
      <c r="B15">
        <f t="shared" si="1"/>
        <v>522</v>
      </c>
      <c r="C15">
        <f t="shared" si="0"/>
        <v>29</v>
      </c>
      <c r="G15" s="1">
        <v>12</v>
      </c>
      <c r="H15">
        <f>AVERAGE(P14:Y14)</f>
        <v>52.2</v>
      </c>
      <c r="I15">
        <f t="shared" si="3"/>
        <v>2.9</v>
      </c>
      <c r="O15" s="5" t="s">
        <v>37</v>
      </c>
      <c r="P15" s="5">
        <f t="shared" ref="P15:Y15" si="4">AVERAGE(P3:P14)</f>
        <v>102.30555555555556</v>
      </c>
      <c r="Q15" s="5">
        <f t="shared" si="4"/>
        <v>97.722222222222229</v>
      </c>
      <c r="R15" s="5">
        <f t="shared" si="4"/>
        <v>89.8888888888889</v>
      </c>
      <c r="S15" s="5">
        <f t="shared" si="4"/>
        <v>114.63888888888887</v>
      </c>
      <c r="T15" s="5">
        <f t="shared" si="4"/>
        <v>74.722222222222214</v>
      </c>
      <c r="U15" s="5">
        <f t="shared" si="4"/>
        <v>108.58333333333333</v>
      </c>
      <c r="V15" s="5">
        <f t="shared" si="4"/>
        <v>87.916666666666671</v>
      </c>
      <c r="W15" s="5">
        <f t="shared" si="4"/>
        <v>74.916666666666671</v>
      </c>
      <c r="X15" s="5">
        <f t="shared" si="4"/>
        <v>88.833333333333329</v>
      </c>
      <c r="Y15" s="5">
        <f t="shared" si="4"/>
        <v>76.222222222222229</v>
      </c>
      <c r="Z15" s="6"/>
      <c r="AA15" s="7" t="s">
        <v>37</v>
      </c>
      <c r="AB15" s="7">
        <f>AVERAGE(AB3:AB14)</f>
        <v>1.0833333333333333</v>
      </c>
      <c r="AC15" s="7">
        <f t="shared" ref="AC15:AK15" si="5">AVERAGE(AC3:AC14)</f>
        <v>23.416666666666668</v>
      </c>
      <c r="AD15" s="7">
        <f t="shared" si="5"/>
        <v>25.666666666666668</v>
      </c>
      <c r="AE15" s="7">
        <f t="shared" si="5"/>
        <v>32.916666666666664</v>
      </c>
      <c r="AF15" s="7">
        <f t="shared" si="5"/>
        <v>0.41666666666666669</v>
      </c>
      <c r="AG15" s="7">
        <f t="shared" si="5"/>
        <v>20.916666666666668</v>
      </c>
      <c r="AH15" s="7">
        <f t="shared" si="5"/>
        <v>17.916666666666668</v>
      </c>
      <c r="AI15" s="7">
        <f t="shared" si="5"/>
        <v>20</v>
      </c>
      <c r="AJ15" s="7">
        <f t="shared" si="5"/>
        <v>19.75</v>
      </c>
      <c r="AK15" s="7">
        <f t="shared" si="5"/>
        <v>23.916666666666668</v>
      </c>
    </row>
    <row r="16" spans="1:37">
      <c r="A16" s="1" t="s">
        <v>37</v>
      </c>
      <c r="B16" s="1">
        <f>AVERAGE(B4:B15)</f>
        <v>915.75</v>
      </c>
      <c r="C16" s="1">
        <f>AVERAGE(C6:C15)</f>
        <v>123.2</v>
      </c>
      <c r="G16" s="1" t="s">
        <v>37</v>
      </c>
      <c r="H16" s="1">
        <f>AVERAGE(H4:H15)</f>
        <v>91.575000000000003</v>
      </c>
      <c r="I16" s="1">
        <f>AVERAGE(I4:I15)</f>
        <v>18.599999999999998</v>
      </c>
      <c r="O16" t="s">
        <v>38</v>
      </c>
      <c r="P16">
        <f>P15/SQRT(5)</f>
        <v>45.752435339620696</v>
      </c>
      <c r="Q16">
        <f t="shared" ref="Q16:Y16" si="6">Q15/SQRT(5)</f>
        <v>43.702706360245891</v>
      </c>
      <c r="R16">
        <f t="shared" si="6"/>
        <v>40.199533195496223</v>
      </c>
      <c r="S16">
        <f t="shared" si="6"/>
        <v>51.268069684120171</v>
      </c>
      <c r="T16">
        <f t="shared" si="6"/>
        <v>33.416793663746851</v>
      </c>
      <c r="U16">
        <f t="shared" si="6"/>
        <v>48.559942911370428</v>
      </c>
      <c r="V16">
        <f t="shared" si="6"/>
        <v>39.317528604371304</v>
      </c>
      <c r="W16">
        <f t="shared" si="6"/>
        <v>33.503751862871852</v>
      </c>
      <c r="X16">
        <f t="shared" si="6"/>
        <v>39.727474400246258</v>
      </c>
      <c r="Y16">
        <f t="shared" si="6"/>
        <v>34.087614056996799</v>
      </c>
      <c r="AA16" t="s">
        <v>38</v>
      </c>
      <c r="AB16">
        <f>AB15/SQRT(5)</f>
        <v>0.48448139512495436</v>
      </c>
      <c r="AC16">
        <f t="shared" ref="AC16" si="7">AC15/SQRT(5)</f>
        <v>10.472251694624015</v>
      </c>
      <c r="AD16">
        <f t="shared" ref="AD16" si="8">AD15/SQRT(5)</f>
        <v>11.47848228449892</v>
      </c>
      <c r="AE16">
        <f t="shared" ref="AE16" si="9">AE15/SQRT(5)</f>
        <v>14.720780851873613</v>
      </c>
      <c r="AF16">
        <f t="shared" ref="AF16" si="10">AF15/SQRT(5)</f>
        <v>0.18633899812498247</v>
      </c>
      <c r="AG16">
        <f t="shared" ref="AG16" si="11">AG15/SQRT(5)</f>
        <v>9.3542177058741203</v>
      </c>
      <c r="AH16">
        <f t="shared" ref="AH16" si="12">AH15/SQRT(5)</f>
        <v>8.0125769193742471</v>
      </c>
      <c r="AI16">
        <f t="shared" ref="AI16" si="13">AI15/SQRT(5)</f>
        <v>8.9442719099991592</v>
      </c>
      <c r="AJ16">
        <f t="shared" ref="AJ16" si="14">AJ15/SQRT(5)</f>
        <v>8.8324685111241692</v>
      </c>
      <c r="AK16">
        <f t="shared" ref="AK16" si="15">AK15/SQRT(5)</f>
        <v>10.695858492373993</v>
      </c>
    </row>
    <row r="17" spans="1:23">
      <c r="A17" s="1" t="s">
        <v>46</v>
      </c>
      <c r="B17" s="1">
        <f>STDEV(B4:B15)</f>
        <v>571.28565136413624</v>
      </c>
      <c r="C17" s="1">
        <f>STDEV(C6:C15)</f>
        <v>133.57960589517813</v>
      </c>
      <c r="G17" s="1" t="s">
        <v>46</v>
      </c>
      <c r="H17" s="1">
        <f>STDEV(H4:H15)</f>
        <v>57.12856513641362</v>
      </c>
      <c r="I17" s="1">
        <f>STDEV(I4:I15)</f>
        <v>28.55969824133938</v>
      </c>
    </row>
    <row r="19" spans="1:23">
      <c r="P19" s="9" t="s">
        <v>54</v>
      </c>
      <c r="T19" s="9" t="s">
        <v>55</v>
      </c>
    </row>
    <row r="20" spans="1:23">
      <c r="B20" t="s">
        <v>52</v>
      </c>
      <c r="C20" t="s">
        <v>53</v>
      </c>
      <c r="H20" t="s">
        <v>52</v>
      </c>
      <c r="I20" t="s">
        <v>53</v>
      </c>
      <c r="O20" s="9" t="s">
        <v>56</v>
      </c>
      <c r="P20" s="9" t="s">
        <v>57</v>
      </c>
      <c r="Q20" s="9" t="s">
        <v>58</v>
      </c>
      <c r="S20" s="9" t="s">
        <v>56</v>
      </c>
      <c r="T20" s="9" t="s">
        <v>10</v>
      </c>
      <c r="U20" s="9" t="s">
        <v>35</v>
      </c>
      <c r="V20" s="9" t="s">
        <v>11</v>
      </c>
      <c r="W20" s="9" t="s">
        <v>36</v>
      </c>
    </row>
    <row r="21" spans="1:23">
      <c r="A21" t="s">
        <v>37</v>
      </c>
      <c r="B21">
        <v>915.75</v>
      </c>
      <c r="C21">
        <v>123.2</v>
      </c>
      <c r="G21" t="s">
        <v>37</v>
      </c>
      <c r="H21">
        <v>91.575000000000003</v>
      </c>
      <c r="I21">
        <v>18.599999999999998</v>
      </c>
      <c r="O21" t="s">
        <v>12</v>
      </c>
      <c r="P21">
        <f>Y3-P3</f>
        <v>-217</v>
      </c>
      <c r="Q21">
        <f>AK3-AB3</f>
        <v>0</v>
      </c>
      <c r="S21" t="s">
        <v>12</v>
      </c>
      <c r="T21">
        <f>P3</f>
        <v>234</v>
      </c>
      <c r="U21">
        <f>Y3</f>
        <v>17</v>
      </c>
      <c r="V21">
        <f>AB3</f>
        <v>0</v>
      </c>
      <c r="W21">
        <f>AK3</f>
        <v>0</v>
      </c>
    </row>
    <row r="22" spans="1:23">
      <c r="A22" t="s">
        <v>46</v>
      </c>
      <c r="B22">
        <v>571.28565136413624</v>
      </c>
      <c r="C22">
        <v>133.57960589517813</v>
      </c>
      <c r="G22" t="s">
        <v>46</v>
      </c>
      <c r="H22">
        <v>57.12856513641362</v>
      </c>
      <c r="I22">
        <v>28.55969824133938</v>
      </c>
      <c r="O22" t="s">
        <v>13</v>
      </c>
      <c r="P22">
        <f>Y4-P4</f>
        <v>-85</v>
      </c>
      <c r="Q22">
        <f t="shared" ref="Q22:Q31" si="16">AK4-AB4</f>
        <v>0</v>
      </c>
      <c r="S22" t="s">
        <v>13</v>
      </c>
      <c r="T22">
        <f t="shared" ref="T22:T31" si="17">P4</f>
        <v>150</v>
      </c>
      <c r="U22">
        <f t="shared" ref="U22:U31" si="18">Y4</f>
        <v>65</v>
      </c>
      <c r="V22">
        <f t="shared" ref="V22:V31" si="19">AB4</f>
        <v>0</v>
      </c>
      <c r="W22">
        <f>AK4</f>
        <v>0</v>
      </c>
    </row>
    <row r="23" spans="1:23">
      <c r="O23" t="s">
        <v>14</v>
      </c>
      <c r="P23">
        <f t="shared" ref="P23:P31" si="20">Y5-P5</f>
        <v>135</v>
      </c>
      <c r="Q23">
        <f t="shared" si="16"/>
        <v>0</v>
      </c>
      <c r="S23" t="s">
        <v>14</v>
      </c>
      <c r="T23">
        <f t="shared" si="17"/>
        <v>50</v>
      </c>
      <c r="U23">
        <f t="shared" si="18"/>
        <v>185</v>
      </c>
      <c r="V23">
        <f t="shared" si="19"/>
        <v>0</v>
      </c>
      <c r="W23">
        <f t="shared" ref="W23:W31" si="21">AK5</f>
        <v>0</v>
      </c>
    </row>
    <row r="24" spans="1:23">
      <c r="O24" t="s">
        <v>15</v>
      </c>
      <c r="P24">
        <f t="shared" si="20"/>
        <v>-5.0000000000000329</v>
      </c>
      <c r="Q24">
        <f t="shared" si="16"/>
        <v>0</v>
      </c>
      <c r="S24" t="s">
        <v>15</v>
      </c>
      <c r="T24">
        <f t="shared" si="17"/>
        <v>11.6666666666667</v>
      </c>
      <c r="U24">
        <f t="shared" si="18"/>
        <v>6.666666666666667</v>
      </c>
      <c r="V24">
        <f t="shared" si="19"/>
        <v>0</v>
      </c>
      <c r="W24">
        <f t="shared" si="21"/>
        <v>0</v>
      </c>
    </row>
    <row r="25" spans="1:23">
      <c r="O25" t="s">
        <v>47</v>
      </c>
      <c r="P25">
        <f t="shared" si="20"/>
        <v>0</v>
      </c>
      <c r="Q25">
        <f t="shared" si="16"/>
        <v>0</v>
      </c>
      <c r="S25" t="s">
        <v>47</v>
      </c>
      <c r="T25">
        <f t="shared" si="17"/>
        <v>0</v>
      </c>
      <c r="U25">
        <f t="shared" si="18"/>
        <v>0</v>
      </c>
      <c r="V25">
        <f t="shared" si="19"/>
        <v>0</v>
      </c>
      <c r="W25">
        <f>AK7</f>
        <v>0</v>
      </c>
    </row>
    <row r="26" spans="1:23">
      <c r="O26" t="s">
        <v>16</v>
      </c>
      <c r="P26">
        <f t="shared" si="20"/>
        <v>-125</v>
      </c>
      <c r="Q26">
        <f t="shared" si="16"/>
        <v>0</v>
      </c>
      <c r="S26" t="s">
        <v>16</v>
      </c>
      <c r="T26">
        <f t="shared" si="17"/>
        <v>125</v>
      </c>
      <c r="U26">
        <f t="shared" si="18"/>
        <v>0</v>
      </c>
      <c r="V26">
        <f t="shared" si="19"/>
        <v>0</v>
      </c>
      <c r="W26">
        <f t="shared" si="21"/>
        <v>0</v>
      </c>
    </row>
    <row r="27" spans="1:23">
      <c r="O27" t="s">
        <v>17</v>
      </c>
      <c r="P27">
        <f t="shared" si="20"/>
        <v>65</v>
      </c>
      <c r="Q27">
        <f t="shared" si="16"/>
        <v>145</v>
      </c>
      <c r="S27" t="s">
        <v>17</v>
      </c>
      <c r="T27">
        <f t="shared" si="17"/>
        <v>50</v>
      </c>
      <c r="U27">
        <f t="shared" si="18"/>
        <v>115</v>
      </c>
      <c r="V27">
        <f t="shared" si="19"/>
        <v>0</v>
      </c>
      <c r="W27">
        <f t="shared" si="21"/>
        <v>145</v>
      </c>
    </row>
    <row r="28" spans="1:23">
      <c r="O28" t="s">
        <v>48</v>
      </c>
      <c r="P28">
        <f t="shared" si="20"/>
        <v>-19</v>
      </c>
      <c r="Q28">
        <f t="shared" si="16"/>
        <v>-13</v>
      </c>
      <c r="S28" t="s">
        <v>48</v>
      </c>
      <c r="T28">
        <f t="shared" si="17"/>
        <v>48</v>
      </c>
      <c r="U28">
        <f t="shared" si="18"/>
        <v>29</v>
      </c>
      <c r="V28">
        <f t="shared" si="19"/>
        <v>13</v>
      </c>
      <c r="W28">
        <f t="shared" si="21"/>
        <v>0</v>
      </c>
    </row>
    <row r="29" spans="1:23">
      <c r="O29" t="s">
        <v>49</v>
      </c>
      <c r="P29">
        <f t="shared" si="20"/>
        <v>-76</v>
      </c>
      <c r="Q29">
        <f t="shared" si="16"/>
        <v>46</v>
      </c>
      <c r="S29" t="s">
        <v>49</v>
      </c>
      <c r="T29">
        <f t="shared" si="17"/>
        <v>232</v>
      </c>
      <c r="U29">
        <f t="shared" si="18"/>
        <v>156</v>
      </c>
      <c r="V29">
        <f t="shared" si="19"/>
        <v>0</v>
      </c>
      <c r="W29">
        <f t="shared" si="21"/>
        <v>46</v>
      </c>
    </row>
    <row r="30" spans="1:23">
      <c r="O30" t="s">
        <v>18</v>
      </c>
      <c r="P30">
        <f t="shared" si="20"/>
        <v>77</v>
      </c>
      <c r="Q30">
        <f t="shared" si="16"/>
        <v>0</v>
      </c>
      <c r="S30" t="s">
        <v>18</v>
      </c>
      <c r="T30">
        <f t="shared" si="17"/>
        <v>130</v>
      </c>
      <c r="U30">
        <f t="shared" si="18"/>
        <v>207</v>
      </c>
      <c r="V30">
        <f t="shared" si="19"/>
        <v>0</v>
      </c>
      <c r="W30">
        <f t="shared" si="21"/>
        <v>0</v>
      </c>
    </row>
    <row r="31" spans="1:23">
      <c r="O31" t="s">
        <v>50</v>
      </c>
      <c r="P31">
        <f t="shared" si="20"/>
        <v>91</v>
      </c>
      <c r="Q31">
        <f t="shared" si="16"/>
        <v>96</v>
      </c>
      <c r="S31" t="s">
        <v>50</v>
      </c>
      <c r="T31">
        <f t="shared" si="17"/>
        <v>43</v>
      </c>
      <c r="U31">
        <f t="shared" si="18"/>
        <v>134</v>
      </c>
      <c r="V31">
        <f t="shared" si="19"/>
        <v>0</v>
      </c>
      <c r="W31">
        <f t="shared" si="21"/>
        <v>96</v>
      </c>
    </row>
    <row r="32" spans="1:23">
      <c r="O32" s="1" t="s">
        <v>59</v>
      </c>
      <c r="P32">
        <f>AVERAGE(P21:P31)</f>
        <v>-14.454545454545455</v>
      </c>
      <c r="Q32">
        <f>AVERAGE(Q21:Q31)</f>
        <v>24.90909090909091</v>
      </c>
      <c r="S32" s="10" t="s">
        <v>51</v>
      </c>
      <c r="T32">
        <v>154</v>
      </c>
      <c r="U32">
        <v>0</v>
      </c>
      <c r="V32">
        <v>0</v>
      </c>
      <c r="W32">
        <v>0</v>
      </c>
    </row>
    <row r="33" spans="15:23">
      <c r="O33" s="1" t="s">
        <v>46</v>
      </c>
      <c r="P33">
        <f>STDEV(P21:P31)</f>
        <v>105.10124988444585</v>
      </c>
      <c r="Q33">
        <f>STDEV(Q21:Q31)</f>
        <v>50.696064039439086</v>
      </c>
      <c r="S33" s="1" t="s">
        <v>59</v>
      </c>
      <c r="T33">
        <f>AVERAGE(T21:T32)</f>
        <v>102.30555555555556</v>
      </c>
      <c r="U33">
        <f>AVERAGE(U21:U32)</f>
        <v>76.222222222222229</v>
      </c>
      <c r="V33">
        <f>AVERAGE(V21:V32)</f>
        <v>1.0833333333333333</v>
      </c>
      <c r="W33">
        <f>AVERAGE(W21:W32)</f>
        <v>23.916666666666668</v>
      </c>
    </row>
    <row r="34" spans="15:23">
      <c r="S34" s="1" t="s">
        <v>46</v>
      </c>
      <c r="T34">
        <f>STDEV(T21:T32)</f>
        <v>80.347535313638772</v>
      </c>
      <c r="U34">
        <f>STDEV(U21:U32)</f>
        <v>78.781930622399642</v>
      </c>
      <c r="V34">
        <f>STDEV(V21:V32)</f>
        <v>3.7527767497325675</v>
      </c>
      <c r="W34">
        <f>STDEV(W21:W32)</f>
        <v>48.140813025829537</v>
      </c>
    </row>
    <row r="35" spans="15:23">
      <c r="P35" s="9" t="s">
        <v>57</v>
      </c>
      <c r="Q35" s="9" t="s">
        <v>58</v>
      </c>
      <c r="S35" s="1" t="s">
        <v>60</v>
      </c>
      <c r="T35">
        <f>SUM(T21:T32)</f>
        <v>1227.6666666666667</v>
      </c>
      <c r="U35">
        <f t="shared" ref="U35:W35" si="22">SUM(U21:U32)</f>
        <v>914.66666666666674</v>
      </c>
      <c r="V35">
        <f t="shared" si="22"/>
        <v>13</v>
      </c>
      <c r="W35">
        <f t="shared" si="22"/>
        <v>287</v>
      </c>
    </row>
    <row r="36" spans="15:23">
      <c r="O36" s="1" t="s">
        <v>59</v>
      </c>
      <c r="P36">
        <f>AVERAGE(P21:P31)</f>
        <v>-14.454545454545455</v>
      </c>
      <c r="Q36">
        <f>AVERAGE(Q21:Q31)</f>
        <v>24.90909090909091</v>
      </c>
    </row>
    <row r="37" spans="15:23">
      <c r="O37" s="1" t="s">
        <v>46</v>
      </c>
      <c r="P37">
        <f>STDEV(P21:P31)</f>
        <v>105.10124988444585</v>
      </c>
      <c r="Q37">
        <f>STDEV(Q21:Q31)</f>
        <v>50.696064039439086</v>
      </c>
      <c r="T37" s="9" t="s">
        <v>63</v>
      </c>
      <c r="U37" s="9" t="s">
        <v>61</v>
      </c>
      <c r="V37" s="9" t="s">
        <v>64</v>
      </c>
      <c r="W37" s="9" t="s">
        <v>62</v>
      </c>
    </row>
    <row r="38" spans="15:23">
      <c r="S38" s="1" t="s">
        <v>59</v>
      </c>
      <c r="T38">
        <v>102.30555555555556</v>
      </c>
      <c r="U38">
        <v>76.222222222222229</v>
      </c>
      <c r="V38">
        <v>1.0833333333333333</v>
      </c>
      <c r="W38">
        <v>23.916666666666668</v>
      </c>
    </row>
    <row r="39" spans="15:23">
      <c r="S39" s="1" t="s">
        <v>46</v>
      </c>
      <c r="T39">
        <v>80.347535313638772</v>
      </c>
      <c r="U39">
        <v>78.781930622399642</v>
      </c>
      <c r="V39">
        <v>3.7527767497325675</v>
      </c>
      <c r="W39">
        <v>48.140813025829537</v>
      </c>
    </row>
    <row r="42" spans="15:23">
      <c r="T42" s="9" t="s">
        <v>63</v>
      </c>
      <c r="U42" s="9" t="s">
        <v>64</v>
      </c>
      <c r="V42" s="9" t="s">
        <v>66</v>
      </c>
      <c r="W42" s="9" t="s">
        <v>62</v>
      </c>
    </row>
    <row r="43" spans="15:23">
      <c r="S43" s="1" t="s">
        <v>59</v>
      </c>
      <c r="T43">
        <v>102.30555555555556</v>
      </c>
      <c r="U43">
        <v>1.0833330000000001</v>
      </c>
      <c r="V43">
        <v>76.222222222222229</v>
      </c>
      <c r="W43">
        <v>23.916666666666668</v>
      </c>
    </row>
    <row r="44" spans="15:23">
      <c r="S44" s="1" t="s">
        <v>46</v>
      </c>
      <c r="T44">
        <v>80.347535313638772</v>
      </c>
      <c r="U44">
        <v>3.7527767500000002</v>
      </c>
      <c r="V44">
        <v>78.781930622399642</v>
      </c>
      <c r="W44">
        <v>48.140813025829537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2" sqref="B2:C11"/>
    </sheetView>
  </sheetViews>
  <sheetFormatPr baseColWidth="10" defaultColWidth="10.6640625" defaultRowHeight="16"/>
  <cols>
    <col min="2" max="2" width="28.1640625" bestFit="1" customWidth="1"/>
  </cols>
  <sheetData>
    <row r="1" spans="1:3" s="1" customFormat="1">
      <c r="A1" s="1" t="s">
        <v>0</v>
      </c>
      <c r="B1" s="1" t="s">
        <v>42</v>
      </c>
      <c r="C1" s="1" t="s">
        <v>43</v>
      </c>
    </row>
    <row r="2" spans="1:3">
      <c r="A2">
        <v>1</v>
      </c>
      <c r="B2">
        <f>222+12</f>
        <v>234</v>
      </c>
      <c r="C2">
        <v>0</v>
      </c>
    </row>
    <row r="3" spans="1:3">
      <c r="A3">
        <v>2</v>
      </c>
      <c r="B3">
        <f>190+35</f>
        <v>225</v>
      </c>
      <c r="C3">
        <v>0</v>
      </c>
    </row>
    <row r="4" spans="1:3">
      <c r="A4">
        <v>3</v>
      </c>
      <c r="B4">
        <f>218+11</f>
        <v>229</v>
      </c>
      <c r="C4">
        <v>0</v>
      </c>
    </row>
    <row r="5" spans="1:3">
      <c r="A5">
        <v>4</v>
      </c>
      <c r="B5">
        <f>132+16</f>
        <v>148</v>
      </c>
      <c r="C5">
        <v>0</v>
      </c>
    </row>
    <row r="6" spans="1:3">
      <c r="A6">
        <v>5</v>
      </c>
      <c r="B6">
        <f>36+10</f>
        <v>46</v>
      </c>
      <c r="C6">
        <v>0</v>
      </c>
    </row>
    <row r="7" spans="1:3">
      <c r="A7">
        <v>6</v>
      </c>
      <c r="B7">
        <f>179+23</f>
        <v>202</v>
      </c>
      <c r="C7">
        <v>0</v>
      </c>
    </row>
    <row r="8" spans="1:3">
      <c r="A8">
        <v>7</v>
      </c>
      <c r="B8">
        <f>69+24</f>
        <v>93</v>
      </c>
      <c r="C8">
        <v>0</v>
      </c>
    </row>
    <row r="9" spans="1:3">
      <c r="A9">
        <v>8</v>
      </c>
      <c r="B9">
        <v>3</v>
      </c>
      <c r="C9">
        <v>0</v>
      </c>
    </row>
    <row r="10" spans="1:3">
      <c r="A10">
        <v>9</v>
      </c>
      <c r="B10">
        <v>8</v>
      </c>
      <c r="C10">
        <v>0</v>
      </c>
    </row>
    <row r="11" spans="1:3">
      <c r="A11">
        <v>10</v>
      </c>
      <c r="B11">
        <v>17</v>
      </c>
      <c r="C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topLeftCell="F1" workbookViewId="0">
      <selection activeCell="J2" sqref="J2:K11"/>
    </sheetView>
  </sheetViews>
  <sheetFormatPr baseColWidth="10" defaultColWidth="10.6640625" defaultRowHeight="16"/>
  <cols>
    <col min="2" max="2" width="28" bestFit="1" customWidth="1"/>
    <col min="3" max="3" width="31.6640625" bestFit="1" customWidth="1"/>
    <col min="10" max="10" width="28" bestFit="1" customWidth="1"/>
    <col min="11" max="11" width="31.6640625" bestFit="1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4</v>
      </c>
      <c r="F1" s="1" t="s">
        <v>7</v>
      </c>
      <c r="G1" s="1" t="s">
        <v>8</v>
      </c>
      <c r="I1" s="1" t="s">
        <v>0</v>
      </c>
      <c r="J1" s="1" t="s">
        <v>1</v>
      </c>
      <c r="K1" s="1" t="s">
        <v>2</v>
      </c>
    </row>
    <row r="2" spans="1:15">
      <c r="A2">
        <v>1</v>
      </c>
      <c r="B2">
        <v>50</v>
      </c>
      <c r="C2">
        <v>0</v>
      </c>
      <c r="D2">
        <f>B2/(B2+C2)</f>
        <v>1</v>
      </c>
      <c r="F2">
        <v>3.5</v>
      </c>
      <c r="G2">
        <v>0</v>
      </c>
      <c r="I2">
        <v>1</v>
      </c>
      <c r="J2">
        <f>30*5</f>
        <v>150</v>
      </c>
      <c r="K2">
        <v>0</v>
      </c>
      <c r="N2">
        <f>J2/100*60</f>
        <v>90</v>
      </c>
      <c r="O2">
        <f>K2/100*60</f>
        <v>0</v>
      </c>
    </row>
    <row r="3" spans="1:15">
      <c r="A3">
        <v>2</v>
      </c>
      <c r="B3">
        <v>49</v>
      </c>
      <c r="C3">
        <v>0</v>
      </c>
      <c r="D3">
        <f>B3/(B3+C3)</f>
        <v>1</v>
      </c>
      <c r="F3">
        <v>3.5</v>
      </c>
      <c r="G3">
        <v>110</v>
      </c>
      <c r="I3">
        <v>2</v>
      </c>
      <c r="J3">
        <f>29*5</f>
        <v>145</v>
      </c>
      <c r="K3">
        <v>0</v>
      </c>
      <c r="N3">
        <f t="shared" ref="N3:N11" si="0">J3/100*60</f>
        <v>87</v>
      </c>
      <c r="O3">
        <f t="shared" ref="O3:O11" si="1">K3/100*60</f>
        <v>0</v>
      </c>
    </row>
    <row r="4" spans="1:15">
      <c r="A4">
        <v>3</v>
      </c>
      <c r="B4">
        <v>45</v>
      </c>
      <c r="C4">
        <v>72</v>
      </c>
      <c r="D4">
        <f>B4/(B4+C4)</f>
        <v>0.38461538461538464</v>
      </c>
      <c r="F4">
        <v>7.5</v>
      </c>
      <c r="G4">
        <v>0</v>
      </c>
      <c r="I4">
        <v>3</v>
      </c>
      <c r="J4">
        <f>27*5</f>
        <v>135</v>
      </c>
      <c r="K4">
        <f>44*5</f>
        <v>220</v>
      </c>
      <c r="N4">
        <f t="shared" si="0"/>
        <v>81</v>
      </c>
      <c r="O4">
        <f t="shared" si="1"/>
        <v>132</v>
      </c>
    </row>
    <row r="5" spans="1:15">
      <c r="A5">
        <v>4</v>
      </c>
      <c r="B5">
        <v>66</v>
      </c>
      <c r="C5">
        <v>90</v>
      </c>
      <c r="D5">
        <f t="shared" ref="D5:D11" si="2">B5/(B5+C5)</f>
        <v>0.42307692307692307</v>
      </c>
      <c r="F5">
        <v>7.5</v>
      </c>
      <c r="G5">
        <v>110</v>
      </c>
      <c r="I5">
        <v>4</v>
      </c>
      <c r="J5">
        <f>40*5</f>
        <v>200</v>
      </c>
      <c r="K5">
        <f>54*5</f>
        <v>270</v>
      </c>
      <c r="N5">
        <f t="shared" si="0"/>
        <v>120</v>
      </c>
      <c r="O5">
        <f t="shared" si="1"/>
        <v>162</v>
      </c>
    </row>
    <row r="6" spans="1:15">
      <c r="A6">
        <v>5</v>
      </c>
      <c r="B6">
        <v>45</v>
      </c>
      <c r="C6">
        <v>0</v>
      </c>
      <c r="D6">
        <f t="shared" si="2"/>
        <v>1</v>
      </c>
      <c r="I6">
        <v>5</v>
      </c>
      <c r="J6">
        <f>27*5</f>
        <v>135</v>
      </c>
      <c r="K6">
        <v>0</v>
      </c>
      <c r="N6">
        <f t="shared" si="0"/>
        <v>81</v>
      </c>
      <c r="O6">
        <f t="shared" si="1"/>
        <v>0</v>
      </c>
    </row>
    <row r="7" spans="1:15">
      <c r="A7">
        <v>6</v>
      </c>
      <c r="B7">
        <f>27/60*100</f>
        <v>45</v>
      </c>
      <c r="C7">
        <f>28/60*100</f>
        <v>46.666666666666664</v>
      </c>
      <c r="D7">
        <f t="shared" si="2"/>
        <v>0.49090909090909096</v>
      </c>
      <c r="I7">
        <v>6</v>
      </c>
      <c r="J7">
        <v>134</v>
      </c>
      <c r="K7">
        <f>28*5</f>
        <v>140</v>
      </c>
      <c r="N7">
        <f t="shared" si="0"/>
        <v>80.400000000000006</v>
      </c>
      <c r="O7">
        <f t="shared" si="1"/>
        <v>84</v>
      </c>
    </row>
    <row r="8" spans="1:15">
      <c r="A8">
        <v>7</v>
      </c>
      <c r="B8">
        <f>14/60*100</f>
        <v>23.333333333333332</v>
      </c>
      <c r="C8">
        <f>26/60*100</f>
        <v>43.333333333333336</v>
      </c>
      <c r="D8">
        <f t="shared" si="2"/>
        <v>0.35</v>
      </c>
      <c r="I8">
        <v>7</v>
      </c>
      <c r="J8">
        <f>14*5</f>
        <v>70</v>
      </c>
      <c r="K8">
        <f>26*5</f>
        <v>130</v>
      </c>
      <c r="N8">
        <f t="shared" si="0"/>
        <v>42</v>
      </c>
      <c r="O8">
        <f t="shared" si="1"/>
        <v>78</v>
      </c>
    </row>
    <row r="9" spans="1:15">
      <c r="A9">
        <v>8</v>
      </c>
      <c r="B9">
        <f>35/60*100</f>
        <v>58.333333333333336</v>
      </c>
      <c r="C9">
        <f>48/60*100</f>
        <v>80</v>
      </c>
      <c r="D9">
        <f t="shared" si="2"/>
        <v>0.42168674698795178</v>
      </c>
      <c r="I9">
        <v>8</v>
      </c>
      <c r="J9">
        <f>35*5</f>
        <v>175</v>
      </c>
      <c r="K9">
        <f>48*5</f>
        <v>240</v>
      </c>
      <c r="N9">
        <f t="shared" si="0"/>
        <v>105</v>
      </c>
      <c r="O9">
        <f t="shared" si="1"/>
        <v>144</v>
      </c>
    </row>
    <row r="10" spans="1:15">
      <c r="A10">
        <v>9</v>
      </c>
      <c r="B10">
        <v>0</v>
      </c>
      <c r="C10">
        <v>0</v>
      </c>
      <c r="D10">
        <v>0</v>
      </c>
      <c r="I10">
        <v>9</v>
      </c>
      <c r="J10">
        <v>0</v>
      </c>
      <c r="K10">
        <v>0</v>
      </c>
      <c r="N10">
        <f t="shared" si="0"/>
        <v>0</v>
      </c>
      <c r="O10">
        <f t="shared" si="1"/>
        <v>0</v>
      </c>
    </row>
    <row r="11" spans="1:15">
      <c r="A11">
        <v>10</v>
      </c>
      <c r="B11">
        <f>13/60*100</f>
        <v>21.666666666666668</v>
      </c>
      <c r="C11">
        <v>0</v>
      </c>
      <c r="D11">
        <f t="shared" si="2"/>
        <v>1</v>
      </c>
      <c r="I11">
        <v>10</v>
      </c>
      <c r="J11">
        <f>13*5</f>
        <v>65</v>
      </c>
      <c r="K11">
        <v>0</v>
      </c>
      <c r="N11">
        <f t="shared" si="0"/>
        <v>39</v>
      </c>
      <c r="O11">
        <f t="shared" si="1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topLeftCell="E1" workbookViewId="0">
      <selection activeCell="K2" sqref="K2:L11"/>
    </sheetView>
  </sheetViews>
  <sheetFormatPr baseColWidth="10" defaultColWidth="10.6640625" defaultRowHeight="16"/>
  <cols>
    <col min="4" max="4" width="28.1640625" bestFit="1" customWidth="1"/>
    <col min="5" max="5" width="31.6640625" bestFit="1" customWidth="1"/>
  </cols>
  <sheetData>
    <row r="1" spans="1:16" s="1" customFormat="1">
      <c r="A1" t="s">
        <v>3</v>
      </c>
      <c r="B1" t="s">
        <v>0</v>
      </c>
      <c r="C1" t="s">
        <v>5</v>
      </c>
      <c r="D1" t="s">
        <v>6</v>
      </c>
      <c r="E1"/>
      <c r="F1" t="s">
        <v>7</v>
      </c>
      <c r="G1" t="s">
        <v>8</v>
      </c>
      <c r="J1" s="8" t="s">
        <v>0</v>
      </c>
      <c r="K1" s="8" t="s">
        <v>44</v>
      </c>
      <c r="L1" s="8" t="s">
        <v>45</v>
      </c>
      <c r="M1" s="8"/>
      <c r="N1" s="8"/>
      <c r="O1" s="8"/>
      <c r="P1" s="8"/>
    </row>
    <row r="2" spans="1:16">
      <c r="A2" s="3">
        <v>41567</v>
      </c>
      <c r="B2">
        <v>1</v>
      </c>
      <c r="C2">
        <f>10/60*100</f>
        <v>16.666666666666664</v>
      </c>
      <c r="D2">
        <v>0</v>
      </c>
      <c r="F2">
        <v>2.5</v>
      </c>
      <c r="G2">
        <v>0</v>
      </c>
      <c r="J2" s="4">
        <v>1</v>
      </c>
      <c r="K2">
        <f>10*5</f>
        <v>50</v>
      </c>
      <c r="L2" s="4">
        <v>0</v>
      </c>
      <c r="M2" s="4"/>
      <c r="N2" s="4">
        <f>K2/100*60</f>
        <v>30</v>
      </c>
      <c r="O2" s="4"/>
      <c r="P2" s="4"/>
    </row>
    <row r="3" spans="1:16">
      <c r="A3" s="3">
        <v>41568</v>
      </c>
      <c r="B3">
        <v>2</v>
      </c>
      <c r="C3">
        <f>3/60*100</f>
        <v>5</v>
      </c>
      <c r="D3">
        <v>0</v>
      </c>
      <c r="F3">
        <v>2.5</v>
      </c>
      <c r="G3">
        <v>110</v>
      </c>
      <c r="J3" s="4">
        <v>2</v>
      </c>
      <c r="K3">
        <f>3*5</f>
        <v>15</v>
      </c>
      <c r="L3" s="4">
        <v>0</v>
      </c>
      <c r="M3" s="4"/>
      <c r="N3" s="4">
        <f t="shared" ref="N3:N11" si="0">K3/100*60</f>
        <v>9</v>
      </c>
      <c r="O3" s="4"/>
      <c r="P3" s="4"/>
    </row>
    <row r="4" spans="1:16">
      <c r="A4" s="3">
        <v>41572</v>
      </c>
      <c r="B4">
        <v>3</v>
      </c>
      <c r="C4">
        <f>13/60*100</f>
        <v>21.666666666666668</v>
      </c>
      <c r="D4">
        <v>0</v>
      </c>
      <c r="F4">
        <v>5.5</v>
      </c>
      <c r="G4">
        <v>0</v>
      </c>
      <c r="J4" s="4">
        <v>3</v>
      </c>
      <c r="K4">
        <f>13*5</f>
        <v>65</v>
      </c>
      <c r="L4" s="4">
        <v>0</v>
      </c>
      <c r="M4" s="4"/>
      <c r="N4" s="4">
        <f t="shared" si="0"/>
        <v>39</v>
      </c>
      <c r="O4" s="4"/>
      <c r="P4" s="4"/>
    </row>
    <row r="5" spans="1:16">
      <c r="A5" s="3">
        <v>41573</v>
      </c>
      <c r="B5">
        <v>4</v>
      </c>
      <c r="C5">
        <f>41/60*100</f>
        <v>68.333333333333329</v>
      </c>
      <c r="D5">
        <v>0</v>
      </c>
      <c r="F5">
        <v>5.5</v>
      </c>
      <c r="G5">
        <v>110</v>
      </c>
      <c r="J5" s="4">
        <v>4</v>
      </c>
      <c r="K5">
        <f>41*5</f>
        <v>205</v>
      </c>
      <c r="L5" s="4">
        <v>0</v>
      </c>
      <c r="M5" s="4"/>
      <c r="N5" s="4">
        <f t="shared" si="0"/>
        <v>122.99999999999999</v>
      </c>
      <c r="O5" s="4"/>
      <c r="P5" s="4"/>
    </row>
    <row r="6" spans="1:16">
      <c r="A6" s="3">
        <v>41574</v>
      </c>
      <c r="B6">
        <v>5</v>
      </c>
      <c r="C6">
        <f>10/60*100</f>
        <v>16.666666666666664</v>
      </c>
      <c r="D6">
        <v>0</v>
      </c>
      <c r="F6">
        <v>8.5</v>
      </c>
      <c r="G6">
        <v>0</v>
      </c>
      <c r="J6" s="4">
        <v>5</v>
      </c>
      <c r="K6">
        <v>50</v>
      </c>
      <c r="L6" s="4">
        <v>0</v>
      </c>
      <c r="M6" s="4"/>
      <c r="N6" s="4">
        <f t="shared" si="0"/>
        <v>30</v>
      </c>
      <c r="O6" s="4"/>
      <c r="P6" s="4"/>
    </row>
    <row r="7" spans="1:16">
      <c r="A7" s="3">
        <v>41581</v>
      </c>
      <c r="B7">
        <v>6</v>
      </c>
      <c r="C7">
        <f>52/60*100</f>
        <v>86.666666666666671</v>
      </c>
      <c r="D7">
        <v>0</v>
      </c>
      <c r="F7">
        <v>8.5</v>
      </c>
      <c r="G7">
        <v>110</v>
      </c>
      <c r="J7" s="4">
        <v>6</v>
      </c>
      <c r="K7">
        <f>52*5</f>
        <v>260</v>
      </c>
      <c r="L7" s="4">
        <v>0</v>
      </c>
      <c r="M7" s="4"/>
      <c r="N7" s="4">
        <f t="shared" si="0"/>
        <v>156</v>
      </c>
      <c r="O7" s="4"/>
      <c r="P7" s="4"/>
    </row>
    <row r="8" spans="1:16">
      <c r="A8" s="3">
        <v>41582</v>
      </c>
      <c r="B8">
        <v>7</v>
      </c>
      <c r="C8">
        <f>32/60*100</f>
        <v>53.333333333333336</v>
      </c>
      <c r="D8">
        <v>0</v>
      </c>
      <c r="J8" s="4">
        <v>7</v>
      </c>
      <c r="K8">
        <f>32*5</f>
        <v>160</v>
      </c>
      <c r="L8" s="4">
        <v>0</v>
      </c>
      <c r="M8" s="4"/>
      <c r="N8" s="4">
        <f t="shared" si="0"/>
        <v>96</v>
      </c>
      <c r="O8" s="4"/>
      <c r="P8" s="4"/>
    </row>
    <row r="9" spans="1:16">
      <c r="A9" s="3">
        <v>41583</v>
      </c>
      <c r="B9">
        <v>8</v>
      </c>
      <c r="C9">
        <f>18/60*100</f>
        <v>30</v>
      </c>
      <c r="D9">
        <v>0</v>
      </c>
      <c r="J9" s="4">
        <v>8</v>
      </c>
      <c r="K9">
        <f>18*5</f>
        <v>90</v>
      </c>
      <c r="L9" s="4">
        <v>0</v>
      </c>
      <c r="M9" s="4"/>
      <c r="N9" s="4">
        <f t="shared" si="0"/>
        <v>54</v>
      </c>
      <c r="O9" s="4"/>
      <c r="P9" s="4"/>
    </row>
    <row r="10" spans="1:16">
      <c r="A10" s="3">
        <v>41586</v>
      </c>
      <c r="B10">
        <v>9</v>
      </c>
      <c r="C10">
        <f>28/60*100</f>
        <v>46.666666666666664</v>
      </c>
      <c r="D10">
        <v>0</v>
      </c>
      <c r="J10" s="4">
        <v>9</v>
      </c>
      <c r="K10">
        <f>28*5</f>
        <v>140</v>
      </c>
      <c r="L10" s="4">
        <v>0</v>
      </c>
      <c r="M10" s="4"/>
      <c r="N10" s="4">
        <f t="shared" si="0"/>
        <v>84</v>
      </c>
      <c r="O10" s="4"/>
      <c r="P10" s="4"/>
    </row>
    <row r="11" spans="1:16">
      <c r="A11" s="3">
        <v>41587</v>
      </c>
      <c r="B11">
        <v>10</v>
      </c>
      <c r="C11">
        <f>37/60*100</f>
        <v>61.666666666666671</v>
      </c>
      <c r="D11">
        <v>0</v>
      </c>
      <c r="J11" s="4">
        <v>10</v>
      </c>
      <c r="K11">
        <f>37*5</f>
        <v>185</v>
      </c>
      <c r="L11" s="4">
        <v>0</v>
      </c>
      <c r="M11" s="4"/>
      <c r="N11" s="4">
        <f t="shared" si="0"/>
        <v>111</v>
      </c>
      <c r="O11" s="4"/>
      <c r="P11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"/>
  <sheetViews>
    <sheetView topLeftCell="D1" workbookViewId="0">
      <selection activeCell="L2" sqref="L2:M11"/>
    </sheetView>
  </sheetViews>
  <sheetFormatPr baseColWidth="10" defaultColWidth="10.6640625" defaultRowHeight="16"/>
  <cols>
    <col min="4" max="4" width="19.1640625" bestFit="1" customWidth="1"/>
  </cols>
  <sheetData>
    <row r="1" spans="1:15" s="1" customFormat="1">
      <c r="A1" t="s">
        <v>3</v>
      </c>
      <c r="B1" t="s">
        <v>0</v>
      </c>
      <c r="C1" t="s">
        <v>5</v>
      </c>
      <c r="D1" t="s">
        <v>6</v>
      </c>
      <c r="E1"/>
      <c r="F1" t="s">
        <v>7</v>
      </c>
      <c r="G1" t="s">
        <v>8</v>
      </c>
      <c r="K1" s="8" t="s">
        <v>0</v>
      </c>
      <c r="L1" s="8" t="s">
        <v>44</v>
      </c>
      <c r="M1" s="8" t="s">
        <v>45</v>
      </c>
      <c r="N1" s="8"/>
      <c r="O1" s="8"/>
    </row>
    <row r="2" spans="1:15">
      <c r="A2" s="2">
        <v>41582</v>
      </c>
      <c r="B2">
        <v>1</v>
      </c>
      <c r="C2">
        <f>7/60*100</f>
        <v>11.666666666666666</v>
      </c>
      <c r="D2">
        <v>0</v>
      </c>
      <c r="K2" s="4">
        <v>1</v>
      </c>
      <c r="L2">
        <f>7*5</f>
        <v>35</v>
      </c>
      <c r="M2" s="4">
        <v>0</v>
      </c>
      <c r="N2" s="4"/>
      <c r="O2" s="4">
        <f>L2/100*60</f>
        <v>21</v>
      </c>
    </row>
    <row r="3" spans="1:15">
      <c r="A3" s="3">
        <v>41584</v>
      </c>
      <c r="B3">
        <v>2</v>
      </c>
      <c r="C3">
        <f>1/60*100</f>
        <v>1.6666666666666667</v>
      </c>
      <c r="D3">
        <v>0</v>
      </c>
      <c r="K3" s="4">
        <v>2</v>
      </c>
      <c r="L3">
        <v>5</v>
      </c>
      <c r="M3" s="4">
        <v>0</v>
      </c>
      <c r="N3" s="4"/>
      <c r="O3" s="4">
        <f t="shared" ref="O3:O11" si="0">L3/100*60</f>
        <v>3</v>
      </c>
    </row>
    <row r="4" spans="1:15">
      <c r="A4" s="2">
        <v>41586</v>
      </c>
      <c r="B4">
        <v>3</v>
      </c>
      <c r="C4">
        <f>1/60*100</f>
        <v>1.6666666666666667</v>
      </c>
      <c r="D4">
        <v>0</v>
      </c>
      <c r="K4" s="4">
        <v>3</v>
      </c>
      <c r="L4">
        <v>5</v>
      </c>
      <c r="M4" s="4">
        <v>0</v>
      </c>
      <c r="N4" s="4"/>
      <c r="O4" s="4">
        <f t="shared" si="0"/>
        <v>3</v>
      </c>
    </row>
    <row r="5" spans="1:15">
      <c r="A5" s="2">
        <v>41589</v>
      </c>
      <c r="B5">
        <v>4</v>
      </c>
      <c r="C5">
        <f>7/60*100</f>
        <v>11.666666666666666</v>
      </c>
      <c r="D5">
        <v>0</v>
      </c>
      <c r="K5" s="4">
        <v>4</v>
      </c>
      <c r="L5">
        <v>35</v>
      </c>
      <c r="M5" s="4">
        <v>0</v>
      </c>
      <c r="N5" s="4"/>
      <c r="O5" s="4">
        <f t="shared" si="0"/>
        <v>21</v>
      </c>
    </row>
    <row r="6" spans="1:15">
      <c r="A6" s="2">
        <v>41591</v>
      </c>
      <c r="B6">
        <v>5</v>
      </c>
      <c r="C6">
        <f>4/60*100</f>
        <v>6.666666666666667</v>
      </c>
      <c r="D6">
        <v>0</v>
      </c>
      <c r="K6" s="4">
        <v>5</v>
      </c>
      <c r="L6">
        <v>20</v>
      </c>
      <c r="M6" s="4">
        <v>0</v>
      </c>
      <c r="N6" s="4"/>
      <c r="O6" s="4">
        <f t="shared" si="0"/>
        <v>12</v>
      </c>
    </row>
    <row r="7" spans="1:15">
      <c r="A7" s="2">
        <v>41593</v>
      </c>
      <c r="B7">
        <v>6</v>
      </c>
      <c r="C7">
        <f>6/60*100</f>
        <v>10</v>
      </c>
      <c r="D7">
        <v>0</v>
      </c>
      <c r="K7" s="4">
        <v>6</v>
      </c>
      <c r="L7">
        <v>30</v>
      </c>
      <c r="M7" s="4">
        <v>0</v>
      </c>
      <c r="N7" s="4"/>
      <c r="O7" s="4">
        <f t="shared" si="0"/>
        <v>18</v>
      </c>
    </row>
    <row r="8" spans="1:15">
      <c r="B8">
        <v>7</v>
      </c>
      <c r="C8">
        <v>0</v>
      </c>
      <c r="D8">
        <v>0</v>
      </c>
      <c r="K8" s="4">
        <v>7</v>
      </c>
      <c r="L8">
        <v>0</v>
      </c>
      <c r="M8" s="4">
        <v>0</v>
      </c>
      <c r="N8" s="4"/>
      <c r="O8" s="4">
        <f t="shared" si="0"/>
        <v>0</v>
      </c>
    </row>
    <row r="9" spans="1:15">
      <c r="B9">
        <v>8</v>
      </c>
      <c r="C9">
        <v>0</v>
      </c>
      <c r="D9">
        <v>0</v>
      </c>
      <c r="K9" s="4">
        <v>8</v>
      </c>
      <c r="L9">
        <v>0</v>
      </c>
      <c r="M9" s="4">
        <v>0</v>
      </c>
      <c r="N9" s="4"/>
      <c r="O9" s="4">
        <f t="shared" si="0"/>
        <v>0</v>
      </c>
    </row>
    <row r="10" spans="1:15">
      <c r="B10">
        <v>9</v>
      </c>
      <c r="C10">
        <v>0</v>
      </c>
      <c r="D10">
        <v>0</v>
      </c>
      <c r="K10" s="4">
        <v>9</v>
      </c>
      <c r="L10">
        <v>0</v>
      </c>
      <c r="M10" s="4">
        <v>0</v>
      </c>
      <c r="N10" s="4"/>
      <c r="O10" s="4">
        <f t="shared" si="0"/>
        <v>0</v>
      </c>
    </row>
    <row r="11" spans="1:15">
      <c r="B11">
        <v>10</v>
      </c>
      <c r="C11">
        <f>4/60*100</f>
        <v>6.666666666666667</v>
      </c>
      <c r="K11" s="4">
        <v>10</v>
      </c>
      <c r="L11">
        <v>20</v>
      </c>
      <c r="M11" s="4">
        <v>0</v>
      </c>
      <c r="N11" s="4"/>
      <c r="O11" s="4">
        <f t="shared" si="0"/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2" sqref="B2:C11"/>
    </sheetView>
  </sheetViews>
  <sheetFormatPr baseColWidth="10" defaultColWidth="10.6640625" defaultRowHeight="16"/>
  <cols>
    <col min="2" max="2" width="26.83203125" bestFit="1" customWidth="1"/>
    <col min="3" max="3" width="31.1640625" bestFit="1" customWidth="1"/>
  </cols>
  <sheetData>
    <row r="1" spans="1:5" s="1" customFormat="1">
      <c r="A1" s="1" t="s">
        <v>0</v>
      </c>
      <c r="B1" t="s">
        <v>5</v>
      </c>
      <c r="C1" t="s">
        <v>6</v>
      </c>
      <c r="D1"/>
      <c r="E1"/>
    </row>
    <row r="2" spans="1:5">
      <c r="A2">
        <v>1</v>
      </c>
      <c r="B2">
        <v>0</v>
      </c>
      <c r="C2">
        <v>0</v>
      </c>
    </row>
    <row r="3" spans="1:5">
      <c r="A3">
        <v>2</v>
      </c>
      <c r="B3">
        <v>0</v>
      </c>
      <c r="C3">
        <v>0</v>
      </c>
    </row>
    <row r="4" spans="1:5">
      <c r="A4">
        <v>3</v>
      </c>
      <c r="B4">
        <v>18</v>
      </c>
      <c r="C4">
        <v>0</v>
      </c>
    </row>
    <row r="5" spans="1:5">
      <c r="A5">
        <v>4</v>
      </c>
      <c r="B5">
        <v>0</v>
      </c>
      <c r="C5">
        <v>0</v>
      </c>
    </row>
    <row r="6" spans="1:5">
      <c r="A6">
        <v>5</v>
      </c>
      <c r="B6">
        <v>0</v>
      </c>
      <c r="C6">
        <v>0</v>
      </c>
    </row>
    <row r="7" spans="1:5">
      <c r="A7">
        <v>6</v>
      </c>
      <c r="B7">
        <v>0</v>
      </c>
      <c r="C7">
        <v>0</v>
      </c>
    </row>
    <row r="8" spans="1:5">
      <c r="A8">
        <v>7</v>
      </c>
      <c r="B8">
        <v>0</v>
      </c>
      <c r="C8">
        <v>0</v>
      </c>
    </row>
    <row r="9" spans="1:5">
      <c r="A9">
        <v>8</v>
      </c>
      <c r="B9">
        <v>0</v>
      </c>
      <c r="C9">
        <v>0</v>
      </c>
    </row>
    <row r="10" spans="1:5">
      <c r="A10">
        <v>9</v>
      </c>
      <c r="B10">
        <v>0</v>
      </c>
      <c r="C10">
        <v>0</v>
      </c>
    </row>
    <row r="11" spans="1:5">
      <c r="A11">
        <v>10</v>
      </c>
      <c r="B11">
        <v>0</v>
      </c>
      <c r="C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topLeftCell="B1" workbookViewId="0">
      <selection activeCell="K2" sqref="K2:L11"/>
    </sheetView>
  </sheetViews>
  <sheetFormatPr baseColWidth="10" defaultColWidth="10.6640625" defaultRowHeight="16"/>
  <sheetData>
    <row r="1" spans="1:15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  <c r="J1" s="8" t="s">
        <v>0</v>
      </c>
      <c r="K1" s="8" t="s">
        <v>44</v>
      </c>
      <c r="L1" s="8" t="s">
        <v>45</v>
      </c>
    </row>
    <row r="2" spans="1:15">
      <c r="A2" s="2">
        <v>41596</v>
      </c>
      <c r="B2">
        <v>1</v>
      </c>
      <c r="C2">
        <f>25/60*100</f>
        <v>41.666666666666671</v>
      </c>
      <c r="D2">
        <v>0</v>
      </c>
      <c r="F2">
        <v>3.5</v>
      </c>
      <c r="G2">
        <v>0</v>
      </c>
      <c r="J2" s="4">
        <v>1</v>
      </c>
      <c r="K2">
        <f>25*5</f>
        <v>125</v>
      </c>
      <c r="L2">
        <v>0</v>
      </c>
      <c r="N2">
        <f>K2/100*60</f>
        <v>75</v>
      </c>
      <c r="O2">
        <f>L2/100*60</f>
        <v>0</v>
      </c>
    </row>
    <row r="3" spans="1:15">
      <c r="A3" s="2">
        <v>41597</v>
      </c>
      <c r="B3">
        <v>2</v>
      </c>
      <c r="C3">
        <f>15/60*100</f>
        <v>25</v>
      </c>
      <c r="D3">
        <v>0</v>
      </c>
      <c r="F3">
        <v>3.5</v>
      </c>
      <c r="G3">
        <v>110</v>
      </c>
      <c r="J3" s="4">
        <v>2</v>
      </c>
      <c r="K3">
        <f>15*5</f>
        <v>75</v>
      </c>
      <c r="L3">
        <v>0</v>
      </c>
      <c r="N3">
        <f t="shared" ref="N3:O11" si="0">K3/100*60</f>
        <v>45</v>
      </c>
      <c r="O3">
        <f t="shared" si="0"/>
        <v>0</v>
      </c>
    </row>
    <row r="4" spans="1:15">
      <c r="A4" s="2">
        <v>41598</v>
      </c>
      <c r="B4">
        <v>3</v>
      </c>
      <c r="C4">
        <f>40/60*100</f>
        <v>66.666666666666657</v>
      </c>
      <c r="D4">
        <v>0</v>
      </c>
      <c r="F4">
        <v>4.5</v>
      </c>
      <c r="G4">
        <v>0</v>
      </c>
      <c r="J4" s="4">
        <v>3</v>
      </c>
      <c r="K4">
        <f>40*5</f>
        <v>200</v>
      </c>
      <c r="L4">
        <v>0</v>
      </c>
      <c r="N4">
        <f t="shared" si="0"/>
        <v>120</v>
      </c>
      <c r="O4">
        <f t="shared" si="0"/>
        <v>0</v>
      </c>
    </row>
    <row r="5" spans="1:15">
      <c r="A5" s="2">
        <v>41603</v>
      </c>
      <c r="B5">
        <v>4</v>
      </c>
      <c r="C5">
        <f>35/60*100</f>
        <v>58.333333333333336</v>
      </c>
      <c r="D5">
        <f>22/60*100</f>
        <v>36.666666666666664</v>
      </c>
      <c r="F5">
        <v>4.5</v>
      </c>
      <c r="G5">
        <v>110</v>
      </c>
      <c r="J5" s="4">
        <v>4</v>
      </c>
      <c r="K5">
        <f>35*5</f>
        <v>175</v>
      </c>
      <c r="L5">
        <f>22*5</f>
        <v>110</v>
      </c>
      <c r="N5">
        <f t="shared" si="0"/>
        <v>105</v>
      </c>
      <c r="O5">
        <f t="shared" si="0"/>
        <v>66</v>
      </c>
    </row>
    <row r="6" spans="1:15">
      <c r="A6" s="3">
        <v>41614</v>
      </c>
      <c r="B6">
        <v>5</v>
      </c>
      <c r="C6">
        <v>0</v>
      </c>
      <c r="D6">
        <v>0</v>
      </c>
      <c r="F6">
        <v>5.5</v>
      </c>
      <c r="G6">
        <v>0</v>
      </c>
      <c r="J6" s="4">
        <v>5</v>
      </c>
      <c r="K6">
        <v>0</v>
      </c>
      <c r="L6">
        <v>0</v>
      </c>
      <c r="N6">
        <f t="shared" si="0"/>
        <v>0</v>
      </c>
      <c r="O6">
        <f t="shared" si="0"/>
        <v>0</v>
      </c>
    </row>
    <row r="7" spans="1:15">
      <c r="A7" s="3">
        <v>41617</v>
      </c>
      <c r="B7">
        <v>6</v>
      </c>
      <c r="C7">
        <f>13/60*100</f>
        <v>21.666666666666668</v>
      </c>
      <c r="D7">
        <v>0</v>
      </c>
      <c r="F7">
        <v>5.5</v>
      </c>
      <c r="G7">
        <v>110</v>
      </c>
      <c r="J7" s="4">
        <v>6</v>
      </c>
      <c r="K7">
        <f>13*5</f>
        <v>65</v>
      </c>
      <c r="L7">
        <v>0</v>
      </c>
      <c r="N7">
        <f t="shared" si="0"/>
        <v>39</v>
      </c>
      <c r="O7">
        <f t="shared" si="0"/>
        <v>0</v>
      </c>
    </row>
    <row r="8" spans="1:15">
      <c r="A8" s="3">
        <v>41618</v>
      </c>
      <c r="B8">
        <v>7</v>
      </c>
      <c r="C8">
        <f>18/60*100</f>
        <v>30</v>
      </c>
      <c r="D8">
        <f>17/60*100</f>
        <v>28.333333333333332</v>
      </c>
      <c r="J8" s="4">
        <v>7</v>
      </c>
      <c r="K8">
        <f>18*5</f>
        <v>90</v>
      </c>
      <c r="L8">
        <f>17*5</f>
        <v>85</v>
      </c>
      <c r="N8">
        <f t="shared" si="0"/>
        <v>54</v>
      </c>
      <c r="O8">
        <f t="shared" si="0"/>
        <v>51</v>
      </c>
    </row>
    <row r="9" spans="1:15">
      <c r="A9" s="3">
        <v>41619</v>
      </c>
      <c r="B9">
        <v>8</v>
      </c>
      <c r="C9">
        <f>20/60*100</f>
        <v>33.333333333333329</v>
      </c>
      <c r="D9">
        <v>0</v>
      </c>
      <c r="J9" s="4">
        <v>8</v>
      </c>
      <c r="K9">
        <f>20*5</f>
        <v>100</v>
      </c>
      <c r="L9">
        <v>0</v>
      </c>
      <c r="N9">
        <f t="shared" si="0"/>
        <v>60</v>
      </c>
      <c r="O9">
        <f t="shared" si="0"/>
        <v>0</v>
      </c>
    </row>
    <row r="10" spans="1:15">
      <c r="A10" s="3">
        <v>41620</v>
      </c>
      <c r="B10">
        <v>9</v>
      </c>
      <c r="C10">
        <f>33/60*100</f>
        <v>55.000000000000007</v>
      </c>
      <c r="D10">
        <v>0</v>
      </c>
      <c r="J10" s="4">
        <v>9</v>
      </c>
      <c r="K10">
        <f>33*5</f>
        <v>165</v>
      </c>
      <c r="L10">
        <v>0</v>
      </c>
      <c r="N10">
        <f t="shared" si="0"/>
        <v>99</v>
      </c>
      <c r="O10">
        <f t="shared" si="0"/>
        <v>0</v>
      </c>
    </row>
    <row r="11" spans="1:15">
      <c r="A11" s="3">
        <v>41621</v>
      </c>
      <c r="B11">
        <v>10</v>
      </c>
      <c r="C11">
        <v>0</v>
      </c>
      <c r="D11">
        <v>0</v>
      </c>
      <c r="J11" s="4">
        <v>10</v>
      </c>
      <c r="K11">
        <v>0</v>
      </c>
      <c r="L11">
        <v>0</v>
      </c>
      <c r="N11">
        <f t="shared" si="0"/>
        <v>0</v>
      </c>
      <c r="O11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1"/>
  <sheetViews>
    <sheetView topLeftCell="E1" workbookViewId="0">
      <selection activeCell="N2" sqref="N2:O11"/>
    </sheetView>
  </sheetViews>
  <sheetFormatPr baseColWidth="10" defaultColWidth="10.6640625" defaultRowHeight="16"/>
  <sheetData>
    <row r="1" spans="1:18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  <c r="M1" s="8" t="s">
        <v>0</v>
      </c>
      <c r="N1" s="8" t="s">
        <v>44</v>
      </c>
      <c r="O1" s="8" t="s">
        <v>45</v>
      </c>
    </row>
    <row r="2" spans="1:18">
      <c r="A2" s="3">
        <v>41591</v>
      </c>
      <c r="B2">
        <v>1</v>
      </c>
      <c r="C2">
        <f>10/60*100</f>
        <v>16.666666666666664</v>
      </c>
      <c r="D2">
        <v>0</v>
      </c>
      <c r="F2">
        <v>1.5</v>
      </c>
      <c r="M2" s="4">
        <v>1</v>
      </c>
      <c r="N2">
        <f>10*5</f>
        <v>50</v>
      </c>
      <c r="O2">
        <v>0</v>
      </c>
      <c r="Q2">
        <f>N2/100*60</f>
        <v>30</v>
      </c>
    </row>
    <row r="3" spans="1:18">
      <c r="A3" s="3">
        <v>41593</v>
      </c>
      <c r="B3">
        <v>2</v>
      </c>
      <c r="C3">
        <f>11/60*100</f>
        <v>18.333333333333332</v>
      </c>
      <c r="D3">
        <v>0</v>
      </c>
      <c r="F3">
        <v>1.5</v>
      </c>
      <c r="M3" s="4">
        <v>2</v>
      </c>
      <c r="N3">
        <f>11*5</f>
        <v>55</v>
      </c>
      <c r="O3">
        <v>0</v>
      </c>
      <c r="Q3">
        <f t="shared" ref="Q3:Q11" si="0">N3/100*60</f>
        <v>33</v>
      </c>
    </row>
    <row r="4" spans="1:18">
      <c r="A4" s="3">
        <v>41596</v>
      </c>
      <c r="B4">
        <v>3</v>
      </c>
      <c r="C4">
        <f>8/60*100</f>
        <v>13.333333333333334</v>
      </c>
      <c r="D4">
        <v>0</v>
      </c>
      <c r="M4" s="4">
        <v>3</v>
      </c>
      <c r="N4">
        <v>40</v>
      </c>
      <c r="O4">
        <v>0</v>
      </c>
      <c r="Q4">
        <f t="shared" si="0"/>
        <v>24</v>
      </c>
    </row>
    <row r="5" spans="1:18">
      <c r="A5" s="3">
        <v>41597</v>
      </c>
      <c r="B5">
        <v>4</v>
      </c>
      <c r="C5">
        <v>0</v>
      </c>
      <c r="D5">
        <v>0</v>
      </c>
      <c r="M5" s="4">
        <v>4</v>
      </c>
      <c r="N5">
        <v>0</v>
      </c>
      <c r="O5">
        <v>0</v>
      </c>
      <c r="Q5">
        <f t="shared" si="0"/>
        <v>0</v>
      </c>
    </row>
    <row r="6" spans="1:18">
      <c r="A6" s="3">
        <v>41598</v>
      </c>
      <c r="B6">
        <v>5</v>
      </c>
      <c r="C6">
        <f>28/60*100</f>
        <v>46.666666666666664</v>
      </c>
      <c r="D6">
        <v>0</v>
      </c>
      <c r="M6" s="4">
        <v>5</v>
      </c>
      <c r="N6">
        <f>28*5</f>
        <v>140</v>
      </c>
      <c r="O6">
        <v>0</v>
      </c>
      <c r="Q6">
        <f t="shared" si="0"/>
        <v>84</v>
      </c>
    </row>
    <row r="7" spans="1:18">
      <c r="A7" s="3">
        <v>41614</v>
      </c>
      <c r="B7">
        <v>6</v>
      </c>
      <c r="C7">
        <f>30/60*100</f>
        <v>50</v>
      </c>
      <c r="D7">
        <v>0</v>
      </c>
      <c r="M7" s="4">
        <v>6</v>
      </c>
      <c r="N7">
        <f>30*5</f>
        <v>150</v>
      </c>
      <c r="O7">
        <v>0</v>
      </c>
      <c r="Q7">
        <f t="shared" si="0"/>
        <v>90</v>
      </c>
    </row>
    <row r="8" spans="1:18">
      <c r="A8" s="3">
        <v>41617</v>
      </c>
      <c r="B8">
        <v>7</v>
      </c>
      <c r="C8">
        <f>32/60*100</f>
        <v>53.333333333333336</v>
      </c>
      <c r="D8">
        <v>0</v>
      </c>
      <c r="M8" s="4">
        <v>7</v>
      </c>
      <c r="N8">
        <f>32*5</f>
        <v>160</v>
      </c>
      <c r="O8">
        <v>0</v>
      </c>
      <c r="Q8">
        <f t="shared" si="0"/>
        <v>96</v>
      </c>
    </row>
    <row r="9" spans="1:18">
      <c r="A9" s="3">
        <v>41619</v>
      </c>
      <c r="B9">
        <v>8</v>
      </c>
      <c r="C9">
        <f>27/60*100</f>
        <v>45</v>
      </c>
      <c r="D9">
        <v>0</v>
      </c>
      <c r="M9" s="4">
        <v>8</v>
      </c>
      <c r="N9">
        <f>27*5</f>
        <v>135</v>
      </c>
      <c r="O9">
        <v>0</v>
      </c>
      <c r="Q9">
        <f t="shared" si="0"/>
        <v>81</v>
      </c>
    </row>
    <row r="10" spans="1:18">
      <c r="B10">
        <v>9</v>
      </c>
      <c r="C10">
        <f>45/60*100</f>
        <v>75</v>
      </c>
      <c r="D10">
        <f>14/60*100</f>
        <v>23.333333333333332</v>
      </c>
      <c r="M10" s="4">
        <v>9</v>
      </c>
      <c r="N10">
        <f>45*5</f>
        <v>225</v>
      </c>
      <c r="O10">
        <f>14*5</f>
        <v>70</v>
      </c>
      <c r="Q10">
        <f t="shared" si="0"/>
        <v>135</v>
      </c>
      <c r="R10">
        <f>O10/100*60</f>
        <v>42</v>
      </c>
    </row>
    <row r="11" spans="1:18">
      <c r="B11">
        <v>10</v>
      </c>
      <c r="C11">
        <f>23/60*100</f>
        <v>38.333333333333336</v>
      </c>
      <c r="D11">
        <f>29/60*100</f>
        <v>48.333333333333336</v>
      </c>
      <c r="M11" s="4">
        <v>10</v>
      </c>
      <c r="N11">
        <f>23*5</f>
        <v>115</v>
      </c>
      <c r="O11">
        <f>29*5</f>
        <v>145</v>
      </c>
      <c r="Q11">
        <f t="shared" si="0"/>
        <v>69</v>
      </c>
      <c r="R11">
        <f>O11/100*60</f>
        <v>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PairAssignments</vt:lpstr>
      <vt:lpstr>Averages</vt:lpstr>
      <vt:lpstr>P1_Kobe&amp;Ian</vt:lpstr>
      <vt:lpstr>P2_Sally&amp;Vanya</vt:lpstr>
      <vt:lpstr>P3_Rocky&amp;Oaky</vt:lpstr>
      <vt:lpstr>P4_Rosie&amp;Carlie</vt:lpstr>
      <vt:lpstr>P5_Koda&amp;Ava</vt:lpstr>
      <vt:lpstr>P6_Kodi &amp; Kaia</vt:lpstr>
      <vt:lpstr>P7_Dax &amp; Fiona</vt:lpstr>
      <vt:lpstr>P8_Mason&amp;Coffee</vt:lpstr>
      <vt:lpstr>P9_Gunner&amp;Cato</vt:lpstr>
      <vt:lpstr>P10_Misha&amp;Houston</vt:lpstr>
      <vt:lpstr>P11_Rev&amp;Blitz</vt:lpstr>
      <vt:lpstr>P12_Jude&amp;Luna</vt:lpstr>
      <vt:lpstr>SD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R. Mehrkam</dc:creator>
  <cp:lastModifiedBy>Microsoft Office User</cp:lastModifiedBy>
  <dcterms:created xsi:type="dcterms:W3CDTF">2013-11-05T04:58:56Z</dcterms:created>
  <dcterms:modified xsi:type="dcterms:W3CDTF">2020-03-31T01:47:16Z</dcterms:modified>
</cp:coreProperties>
</file>