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ttvernaci/Desktop/SP20/Consulting/Mehrkam Project/"/>
    </mc:Choice>
  </mc:AlternateContent>
  <xr:revisionPtr revIDLastSave="0" documentId="8_{E5A95792-23F1-074C-838A-A30DDB30EADD}" xr6:coauthVersionLast="45" xr6:coauthVersionMax="45" xr10:uidLastSave="{00000000-0000-0000-0000-000000000000}"/>
  <bookViews>
    <workbookView xWindow="260" yWindow="460" windowWidth="25600" windowHeight="16060" tabRatio="500" firstSheet="1" activeTab="1" xr2:uid="{00000000-000D-0000-FFFF-FFFF00000000}"/>
  </bookViews>
  <sheets>
    <sheet name="Averages" sheetId="11" r:id="rId1"/>
    <sheet name="MASTER" sheetId="14" r:id="rId2"/>
    <sheet name="P1_Kobe&amp;Ian" sheetId="1" r:id="rId3"/>
    <sheet name="P2_Sally&amp;Vanya" sheetId="2" r:id="rId4"/>
    <sheet name="P3_Rocky&amp;Oaky" sheetId="3" r:id="rId5"/>
    <sheet name="P4_Rosie&amp;Carlie" sheetId="5" r:id="rId6"/>
    <sheet name="P5_Koda&amp;Ava" sheetId="4" r:id="rId7"/>
    <sheet name="P6_Kodi &amp; Kaia" sheetId="6" r:id="rId8"/>
    <sheet name="P7_Dax &amp; Fiona" sheetId="7" r:id="rId9"/>
    <sheet name="P8_Misha&amp;Houston" sheetId="8" r:id="rId10"/>
    <sheet name="P9_Gunner&amp;Cato" sheetId="9" r:id="rId11"/>
    <sheet name="P10_Coffee&amp;Mason" sheetId="10" r:id="rId12"/>
    <sheet name="P11_Rev&amp;Blitz" sheetId="12" r:id="rId13"/>
    <sheet name="P12_Magnum&amp;Toby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1" l="1"/>
  <c r="B15" i="11" s="1"/>
  <c r="B16" i="11" s="1"/>
  <c r="B11" i="11"/>
  <c r="E49" i="11"/>
  <c r="E50" i="11"/>
  <c r="E56" i="11" s="1"/>
  <c r="E57" i="11" s="1"/>
  <c r="E51" i="11"/>
  <c r="D47" i="11"/>
  <c r="D56" i="11" s="1"/>
  <c r="D57" i="11" s="1"/>
  <c r="D51" i="11"/>
  <c r="C47" i="11"/>
  <c r="C56" i="11" s="1"/>
  <c r="C57" i="11" s="1"/>
  <c r="C51" i="11"/>
  <c r="B50" i="11"/>
  <c r="B56" i="11" s="1"/>
  <c r="B57" i="11" s="1"/>
  <c r="B52" i="11"/>
  <c r="E55" i="11"/>
  <c r="D55" i="11"/>
  <c r="E54" i="11"/>
  <c r="D54" i="11"/>
  <c r="E9" i="11"/>
  <c r="E13" i="11" s="1"/>
  <c r="C6" i="11"/>
  <c r="C14" i="11" s="1"/>
  <c r="C10" i="11"/>
  <c r="D6" i="11"/>
  <c r="D15" i="11" s="1"/>
  <c r="D16" i="11" s="1"/>
  <c r="D10" i="11"/>
  <c r="E8" i="11"/>
  <c r="E10" i="11"/>
  <c r="E15" i="11"/>
  <c r="E16" i="11" s="1"/>
  <c r="E14" i="11"/>
  <c r="C13" i="11"/>
  <c r="E4" i="12"/>
  <c r="D4" i="12"/>
  <c r="C4" i="12"/>
  <c r="B4" i="12"/>
  <c r="AE4" i="10"/>
  <c r="AH4" i="10"/>
  <c r="AG4" i="10"/>
  <c r="AF4" i="10"/>
  <c r="F3" i="9"/>
  <c r="F2" i="9"/>
  <c r="F4" i="9" s="1"/>
  <c r="E3" i="9"/>
  <c r="E2" i="9"/>
  <c r="D3" i="9"/>
  <c r="D2" i="9"/>
  <c r="E4" i="9"/>
  <c r="D4" i="9"/>
  <c r="C4" i="9"/>
  <c r="C4" i="8"/>
  <c r="D4" i="8"/>
  <c r="E4" i="8"/>
  <c r="B4" i="8"/>
  <c r="C4" i="6"/>
  <c r="D4" i="6"/>
  <c r="E4" i="6"/>
  <c r="B4" i="6"/>
  <c r="C4" i="5"/>
  <c r="B4" i="5"/>
  <c r="E4" i="5"/>
  <c r="D4" i="5"/>
  <c r="C4" i="3"/>
  <c r="D4" i="3"/>
  <c r="E4" i="3"/>
  <c r="B4" i="3"/>
  <c r="C4" i="7"/>
  <c r="D4" i="7"/>
  <c r="E4" i="7"/>
  <c r="B4" i="7"/>
  <c r="AB10" i="11"/>
  <c r="AB11" i="11" s="1"/>
  <c r="AK10" i="11"/>
  <c r="AK11" i="11" s="1"/>
  <c r="AJ10" i="11"/>
  <c r="AJ11" i="11" s="1"/>
  <c r="AI10" i="11"/>
  <c r="AI11" i="11" s="1"/>
  <c r="AH10" i="11"/>
  <c r="AH11" i="11" s="1"/>
  <c r="AG10" i="11"/>
  <c r="AG11" i="11" s="1"/>
  <c r="AF10" i="11"/>
  <c r="AF11" i="11" s="1"/>
  <c r="AE10" i="11"/>
  <c r="AE11" i="11" s="1"/>
  <c r="AD10" i="11"/>
  <c r="AD11" i="11" s="1"/>
  <c r="AC10" i="11"/>
  <c r="AC11" i="11" s="1"/>
  <c r="Q10" i="11"/>
  <c r="Q11" i="11" s="1"/>
  <c r="R10" i="11"/>
  <c r="R11" i="11" s="1"/>
  <c r="S10" i="11"/>
  <c r="S11" i="11" s="1"/>
  <c r="T10" i="11"/>
  <c r="T11" i="11" s="1"/>
  <c r="U10" i="11"/>
  <c r="U11" i="11" s="1"/>
  <c r="V10" i="11"/>
  <c r="V11" i="11" s="1"/>
  <c r="W10" i="11"/>
  <c r="W11" i="11" s="1"/>
  <c r="X10" i="11"/>
  <c r="X11" i="11" s="1"/>
  <c r="Y10" i="11"/>
  <c r="Y11" i="11" s="1"/>
  <c r="P10" i="11"/>
  <c r="P11" i="11" s="1"/>
  <c r="D4" i="2"/>
  <c r="D3" i="2"/>
  <c r="D2" i="2"/>
  <c r="D5" i="2"/>
  <c r="D6" i="2"/>
  <c r="C9" i="2"/>
  <c r="B9" i="2"/>
  <c r="D9" i="2" s="1"/>
  <c r="B11" i="2"/>
  <c r="D11" i="2" s="1"/>
  <c r="C7" i="2"/>
  <c r="C8" i="2"/>
  <c r="B8" i="2"/>
  <c r="D8" i="2" s="1"/>
  <c r="B7" i="2"/>
  <c r="D7" i="2" s="1"/>
  <c r="B3" i="4"/>
  <c r="C3" i="4"/>
  <c r="C2" i="4"/>
  <c r="B2" i="4"/>
  <c r="B4" i="1"/>
  <c r="B3" i="1"/>
  <c r="B2" i="1"/>
  <c r="C4" i="4"/>
  <c r="D14" i="11" l="1"/>
  <c r="C15" i="11"/>
  <c r="C16" i="11" s="1"/>
  <c r="B54" i="11"/>
  <c r="B55" i="11"/>
  <c r="B14" i="11"/>
  <c r="D13" i="11"/>
  <c r="C54" i="11"/>
  <c r="C55" i="11"/>
  <c r="B13" i="11"/>
</calcChain>
</file>

<file path=xl/sharedStrings.xml><?xml version="1.0" encoding="utf-8"?>
<sst xmlns="http://schemas.openxmlformats.org/spreadsheetml/2006/main" count="166" uniqueCount="74">
  <si>
    <t>Session</t>
  </si>
  <si>
    <t>Percent of Scored Intervals (SD)</t>
  </si>
  <si>
    <t>Percent of Scored Intervals (S-Delta)</t>
  </si>
  <si>
    <t>Percent of Scored Intervals in SD</t>
  </si>
  <si>
    <t>Percent of Scored Intervals in S-delta</t>
  </si>
  <si>
    <t>Date</t>
  </si>
  <si>
    <t>Discrimination Index</t>
  </si>
  <si>
    <t>nonconsecx</t>
  </si>
  <si>
    <t>nonconsecy</t>
  </si>
  <si>
    <t>AVERAGES</t>
  </si>
  <si>
    <t>SUBJECTS</t>
  </si>
  <si>
    <t>SD1</t>
  </si>
  <si>
    <t>SDelta1</t>
  </si>
  <si>
    <t>Kobe&amp;Ian</t>
  </si>
  <si>
    <t>Sally &amp; Vanya</t>
  </si>
  <si>
    <t>Rocky &amp; Oaky</t>
  </si>
  <si>
    <t>Rosie &amp; Carlie</t>
  </si>
  <si>
    <t>Kodi &amp; Kaia</t>
  </si>
  <si>
    <t>Dax &amp; Fiona</t>
  </si>
  <si>
    <t>Misha &amp; Houston</t>
  </si>
  <si>
    <t>SD2</t>
  </si>
  <si>
    <t>SDelta2</t>
  </si>
  <si>
    <t>SD3</t>
  </si>
  <si>
    <t>SDelta3</t>
  </si>
  <si>
    <t>SD4</t>
  </si>
  <si>
    <t>SDelta4</t>
  </si>
  <si>
    <t>SD5</t>
  </si>
  <si>
    <t>SDelta5</t>
  </si>
  <si>
    <t>SD6</t>
  </si>
  <si>
    <t>SDelta6</t>
  </si>
  <si>
    <t>SD7</t>
  </si>
  <si>
    <t>SDelta7</t>
  </si>
  <si>
    <t>SD8</t>
  </si>
  <si>
    <t>SDelta8</t>
  </si>
  <si>
    <t>SD9</t>
  </si>
  <si>
    <t>SDelta9</t>
  </si>
  <si>
    <t>SD10</t>
  </si>
  <si>
    <t>SDelta10</t>
  </si>
  <si>
    <t>AVERAGE</t>
  </si>
  <si>
    <t>SDERROR</t>
  </si>
  <si>
    <t>30 min</t>
  </si>
  <si>
    <t>120 min</t>
  </si>
  <si>
    <t>&gt; 360 min</t>
  </si>
  <si>
    <t>Average</t>
  </si>
  <si>
    <t>0 min</t>
  </si>
  <si>
    <t>Control</t>
  </si>
  <si>
    <t>2 hour</t>
  </si>
  <si>
    <t>6+ hour</t>
  </si>
  <si>
    <t>Pair</t>
  </si>
  <si>
    <t>Gunner &amp; Cato</t>
  </si>
  <si>
    <t>Coffee &amp; Mason</t>
  </si>
  <si>
    <t>Rev &amp; Blitz</t>
  </si>
  <si>
    <t>TOTALS</t>
  </si>
  <si>
    <t>STDEV</t>
  </si>
  <si>
    <t>STERR</t>
  </si>
  <si>
    <t>Session 1</t>
  </si>
  <si>
    <t>Session 2</t>
  </si>
  <si>
    <t xml:space="preserve">One-way ANOVA </t>
  </si>
  <si>
    <t>Calculate medians</t>
  </si>
  <si>
    <t>Separate out the dogs that did not have the pattern we expected in Exp 1</t>
  </si>
  <si>
    <t>Get rid of non used/run dogs</t>
  </si>
  <si>
    <t>Dog Pair</t>
  </si>
  <si>
    <t>Dog Pair #</t>
  </si>
  <si>
    <t>30min</t>
  </si>
  <si>
    <t>120min</t>
  </si>
  <si>
    <t>&gt;360min</t>
  </si>
  <si>
    <t>Rocky&amp;Oaky</t>
  </si>
  <si>
    <t>Rosie&amp;Carlie</t>
  </si>
  <si>
    <t>Kodi&amp;Kaia</t>
  </si>
  <si>
    <t>Dax&amp;Fiona</t>
  </si>
  <si>
    <t>Misha&amp;Houston</t>
  </si>
  <si>
    <t>Gunner&amp;Cato</t>
  </si>
  <si>
    <t>Coffee&amp;Mason</t>
  </si>
  <si>
    <t>Rev&amp;Blitz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</si>
</sst>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0" fillId="4" borderId="0" xfId="0" applyFill="1"/>
    <xf numFmtId="16" fontId="4" fillId="0" borderId="0" xfId="0" applyNumberFormat="1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8134200616199"/>
          <c:y val="5.3278688524590098E-2"/>
          <c:w val="0.85112855186579905"/>
          <c:h val="0.744481089453981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20.2"/>
          </c:errBars>
          <c:cat>
            <c:strRef>
              <c:f>Averages!$A$14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Averages!$B$14</c:f>
              <c:numCache>
                <c:formatCode>General</c:formatCode>
                <c:ptCount val="1"/>
                <c:pt idx="0">
                  <c:v>49.222222222222221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E-D248-927D-E3AB138E9FB6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28.4"/>
          </c:errBars>
          <c:cat>
            <c:strRef>
              <c:f>Averages!$A$14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Averages!$C$14</c:f>
              <c:numCache>
                <c:formatCode>General</c:formatCode>
                <c:ptCount val="1"/>
                <c:pt idx="0">
                  <c:v>52.111111111111114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E-D248-927D-E3AB138E9FB6}"/>
            </c:ext>
          </c:extLst>
        </c:ser>
        <c:ser>
          <c:idx val="2"/>
          <c:order val="2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34.799999999999997"/>
          </c:errBars>
          <c:cat>
            <c:strRef>
              <c:f>Averages!$A$14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Averages!$D$14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DE-D248-927D-E3AB138E9FB6}"/>
            </c:ext>
          </c:extLst>
        </c:ser>
        <c:ser>
          <c:idx val="3"/>
          <c:order val="3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46.1"/>
          </c:errBars>
          <c:cat>
            <c:strRef>
              <c:f>Averages!$A$14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Averages!$E$14</c:f>
              <c:numCache>
                <c:formatCode>General</c:formatCode>
                <c:ptCount val="1"/>
                <c:pt idx="0">
                  <c:v>105.44444444444444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DE-D248-927D-E3AB138E9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0"/>
        <c:axId val="-2082028872"/>
        <c:axId val="-2082023176"/>
      </c:barChart>
      <c:catAx>
        <c:axId val="-208202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Deprivation Level</a:t>
                </a:r>
              </a:p>
            </c:rich>
          </c:tx>
          <c:layout>
            <c:manualLayout>
              <c:xMode val="edge"/>
              <c:yMode val="edge"/>
              <c:x val="0.41887880862718202"/>
              <c:y val="0.8934426229508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-2082023176"/>
        <c:crosses val="autoZero"/>
        <c:auto val="1"/>
        <c:lblAlgn val="ctr"/>
        <c:lblOffset val="100"/>
        <c:noMultiLvlLbl val="0"/>
      </c:catAx>
      <c:valAx>
        <c:axId val="-2082023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Mean duration of social play (s)</a:t>
                </a:r>
              </a:p>
            </c:rich>
          </c:tx>
          <c:layout>
            <c:manualLayout>
              <c:xMode val="edge"/>
              <c:yMode val="edge"/>
              <c:x val="5.6521739130434802E-3"/>
              <c:y val="5.327868852459009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en-US"/>
          </a:p>
        </c:txPr>
        <c:crossAx val="-2082028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barChart>
        <c:barDir val="col"/>
        <c:grouping val="clustered"/>
        <c:varyColors val="0"/>
        <c:ser>
          <c:idx val="0"/>
          <c:order val="0"/>
          <c:tx>
            <c:v>Session 1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'P7_Dax &amp; Fiona'!$B$1:$E$1</c:f>
              <c:strCache>
                <c:ptCount val="4"/>
                <c:pt idx="0">
                  <c:v>0 min</c:v>
                </c:pt>
                <c:pt idx="1">
                  <c:v>30 min</c:v>
                </c:pt>
                <c:pt idx="2">
                  <c:v>120 min</c:v>
                </c:pt>
                <c:pt idx="3">
                  <c:v>&gt; 360 min</c:v>
                </c:pt>
              </c:strCache>
            </c:strRef>
          </c:cat>
          <c:val>
            <c:numRef>
              <c:f>'P10_Coffee&amp;Mason'!$AE$2:$AH$2</c:f>
              <c:numCache>
                <c:formatCode>General</c:formatCode>
                <c:ptCount val="4"/>
                <c:pt idx="0">
                  <c:v>83</c:v>
                </c:pt>
                <c:pt idx="1">
                  <c:v>22</c:v>
                </c:pt>
                <c:pt idx="2">
                  <c:v>141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F-EB40-B198-8D2359890706}"/>
            </c:ext>
          </c:extLst>
        </c:ser>
        <c:ser>
          <c:idx val="1"/>
          <c:order val="1"/>
          <c:tx>
            <c:v>Session 2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'P7_Dax &amp; Fiona'!$B$1:$E$1</c:f>
              <c:strCache>
                <c:ptCount val="4"/>
                <c:pt idx="0">
                  <c:v>0 min</c:v>
                </c:pt>
                <c:pt idx="1">
                  <c:v>30 min</c:v>
                </c:pt>
                <c:pt idx="2">
                  <c:v>120 min</c:v>
                </c:pt>
                <c:pt idx="3">
                  <c:v>&gt; 360 min</c:v>
                </c:pt>
              </c:strCache>
            </c:strRef>
          </c:cat>
          <c:val>
            <c:numRef>
              <c:f>'P10_Coffee&amp;Mason'!$AE$3:$AH$3</c:f>
              <c:numCache>
                <c:formatCode>General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F-EB40-B198-8D2359890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572440"/>
        <c:axId val="-2081566664"/>
      </c:barChart>
      <c:catAx>
        <c:axId val="-208157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</a:t>
                </a:r>
                <a:r>
                  <a:rPr lang="en-US" baseline="0"/>
                  <a:t> of Owner Deprivation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224928475580403"/>
              <c:y val="0.8722926739420729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081566664"/>
        <c:crosses val="autoZero"/>
        <c:auto val="1"/>
        <c:lblAlgn val="ctr"/>
        <c:lblOffset val="100"/>
        <c:noMultiLvlLbl val="0"/>
      </c:catAx>
      <c:valAx>
        <c:axId val="-2081566664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observed (s)</a:t>
                </a:r>
              </a:p>
            </c:rich>
          </c:tx>
          <c:layout>
            <c:manualLayout>
              <c:xMode val="edge"/>
              <c:yMode val="edge"/>
              <c:x val="3.4965034965035002E-2"/>
              <c:y val="0.19357223204242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8157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barChart>
        <c:barDir val="col"/>
        <c:grouping val="clustered"/>
        <c:varyColors val="0"/>
        <c:ser>
          <c:idx val="0"/>
          <c:order val="0"/>
          <c:tx>
            <c:v>Session 1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'P7_Dax &amp; Fiona'!$B$1:$E$1</c:f>
              <c:strCache>
                <c:ptCount val="4"/>
                <c:pt idx="0">
                  <c:v>0 min</c:v>
                </c:pt>
                <c:pt idx="1">
                  <c:v>30 min</c:v>
                </c:pt>
                <c:pt idx="2">
                  <c:v>120 min</c:v>
                </c:pt>
                <c:pt idx="3">
                  <c:v>&gt; 360 min</c:v>
                </c:pt>
              </c:strCache>
            </c:strRef>
          </c:cat>
          <c:val>
            <c:numRef>
              <c:f>'P11_Rev&amp;Blitz'!$B$2:$E$2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8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0-FE45-AD0F-3A3558D741EA}"/>
            </c:ext>
          </c:extLst>
        </c:ser>
        <c:ser>
          <c:idx val="1"/>
          <c:order val="1"/>
          <c:tx>
            <c:v>Session 2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'P7_Dax &amp; Fiona'!$B$1:$E$1</c:f>
              <c:strCache>
                <c:ptCount val="4"/>
                <c:pt idx="0">
                  <c:v>0 min</c:v>
                </c:pt>
                <c:pt idx="1">
                  <c:v>30 min</c:v>
                </c:pt>
                <c:pt idx="2">
                  <c:v>120 min</c:v>
                </c:pt>
                <c:pt idx="3">
                  <c:v>&gt; 360 min</c:v>
                </c:pt>
              </c:strCache>
            </c:strRef>
          </c:cat>
          <c:val>
            <c:numRef>
              <c:f>'P11_Rev&amp;Blitz'!$B$3:$E$3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0-FE45-AD0F-3A3558D74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524616"/>
        <c:axId val="-2081518840"/>
      </c:barChart>
      <c:catAx>
        <c:axId val="-208152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</a:t>
                </a:r>
                <a:r>
                  <a:rPr lang="en-US" baseline="0"/>
                  <a:t> of Owner Deprivation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224928475580403"/>
              <c:y val="0.8722926739420729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081518840"/>
        <c:crosses val="autoZero"/>
        <c:auto val="1"/>
        <c:lblAlgn val="ctr"/>
        <c:lblOffset val="100"/>
        <c:noMultiLvlLbl val="0"/>
      </c:catAx>
      <c:valAx>
        <c:axId val="-2081518840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observed (s)</a:t>
                </a:r>
              </a:p>
            </c:rich>
          </c:tx>
          <c:layout>
            <c:manualLayout>
              <c:xMode val="edge"/>
              <c:yMode val="edge"/>
              <c:x val="3.4965034965035002E-2"/>
              <c:y val="0.19357223204242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8152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8134200616199"/>
          <c:y val="5.3278688524590098E-2"/>
          <c:w val="0.85112855186579905"/>
          <c:h val="0.744481089453981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Averages!$A$14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Averages!$B$13</c:f>
              <c:numCache>
                <c:formatCode>General</c:formatCode>
                <c:ptCount val="1"/>
                <c:pt idx="0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0A4F-86BB-3B19BA95BCC5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Averages!$A$14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Averages!$C$13</c:f>
              <c:numCache>
                <c:formatCode>General</c:formatCode>
                <c:ptCount val="1"/>
                <c:pt idx="0">
                  <c:v>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0A4F-86BB-3B19BA95BCC5}"/>
            </c:ext>
          </c:extLst>
        </c:ser>
        <c:ser>
          <c:idx val="2"/>
          <c:order val="2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Averages!$A$14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Averages!$D$13</c:f>
              <c:numCache>
                <c:formatCode>General</c:formatCode>
                <c:ptCount val="1"/>
                <c:pt idx="0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0A4F-86BB-3B19BA95BCC5}"/>
            </c:ext>
          </c:extLst>
        </c:ser>
        <c:ser>
          <c:idx val="3"/>
          <c:order val="3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Averages!$A$14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Averages!$E$13</c:f>
              <c:numCache>
                <c:formatCode>General</c:formatCode>
                <c:ptCount val="1"/>
                <c:pt idx="0">
                  <c:v>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CC-0A4F-86BB-3B19BA95B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0"/>
        <c:axId val="-2081982776"/>
        <c:axId val="-2081977256"/>
      </c:barChart>
      <c:catAx>
        <c:axId val="-208198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Deprivation Level</a:t>
                </a:r>
              </a:p>
            </c:rich>
          </c:tx>
          <c:layout>
            <c:manualLayout>
              <c:xMode val="edge"/>
              <c:yMode val="edge"/>
              <c:x val="0.41887880862718202"/>
              <c:y val="0.8934426229508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-2081977256"/>
        <c:crosses val="autoZero"/>
        <c:auto val="1"/>
        <c:lblAlgn val="ctr"/>
        <c:lblOffset val="100"/>
        <c:noMultiLvlLbl val="0"/>
      </c:catAx>
      <c:valAx>
        <c:axId val="-2081977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Total duration of social play (s)</a:t>
                </a:r>
              </a:p>
            </c:rich>
          </c:tx>
          <c:layout>
            <c:manualLayout>
              <c:xMode val="edge"/>
              <c:yMode val="edge"/>
              <c:x val="5.6521739130434802E-3"/>
              <c:y val="5.327868852459009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en-US"/>
          </a:p>
        </c:txPr>
        <c:crossAx val="-2081982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Averages!$B$61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18.690000000000001"/>
          </c:errBars>
          <c:cat>
            <c:strRef>
              <c:f>Averages!$A$62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Averages!$B$62</c:f>
              <c:numCache>
                <c:formatCode>General</c:formatCode>
                <c:ptCount val="1"/>
                <c:pt idx="0">
                  <c:v>55.375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B-BA45-9F62-7CA67C54DC3E}"/>
            </c:ext>
          </c:extLst>
        </c:ser>
        <c:ser>
          <c:idx val="1"/>
          <c:order val="1"/>
          <c:tx>
            <c:strRef>
              <c:f>Averages!$C$61</c:f>
              <c:strCache>
                <c:ptCount val="1"/>
                <c:pt idx="0">
                  <c:v>30 min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26.75"/>
          </c:errBars>
          <c:cat>
            <c:strRef>
              <c:f>Averages!$A$62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Averages!$C$62</c:f>
              <c:numCache>
                <c:formatCode>General</c:formatCode>
                <c:ptCount val="1"/>
                <c:pt idx="0">
                  <c:v>58.625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B-BA45-9F62-7CA67C54DC3E}"/>
            </c:ext>
          </c:extLst>
        </c:ser>
        <c:ser>
          <c:idx val="2"/>
          <c:order val="2"/>
          <c:tx>
            <c:strRef>
              <c:f>Averages!$D$61</c:f>
              <c:strCache>
                <c:ptCount val="1"/>
                <c:pt idx="0">
                  <c:v>2 hour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32.86"/>
          </c:errBars>
          <c:cat>
            <c:strRef>
              <c:f>Averages!$A$62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Averages!$D$62</c:f>
              <c:numCache>
                <c:formatCode>General</c:formatCode>
                <c:ptCount val="1"/>
                <c:pt idx="0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B-BA45-9F62-7CA67C54DC3E}"/>
            </c:ext>
          </c:extLst>
        </c:ser>
        <c:ser>
          <c:idx val="3"/>
          <c:order val="3"/>
          <c:tx>
            <c:strRef>
              <c:f>Averages!$E$61</c:f>
              <c:strCache>
                <c:ptCount val="1"/>
                <c:pt idx="0">
                  <c:v>6+ hour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42.7"/>
          </c:errBars>
          <c:cat>
            <c:strRef>
              <c:f>Averages!$A$62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Averages!$E$62</c:f>
              <c:numCache>
                <c:formatCode>General</c:formatCode>
                <c:ptCount val="1"/>
                <c:pt idx="0">
                  <c:v>118.625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1B-BA45-9F62-7CA67C54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-2081938968"/>
        <c:axId val="-2081935832"/>
      </c:barChart>
      <c:catAx>
        <c:axId val="-208193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81935832"/>
        <c:crosses val="autoZero"/>
        <c:auto val="1"/>
        <c:lblAlgn val="ctr"/>
        <c:lblOffset val="100"/>
        <c:noMultiLvlLbl val="0"/>
      </c:catAx>
      <c:valAx>
        <c:axId val="-2081935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193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'P2_Sally&amp;Vanya'!$B$1</c:f>
              <c:strCache>
                <c:ptCount val="1"/>
                <c:pt idx="0">
                  <c:v>Percent of Scored Intervals in SD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CBD0-264E-BBFC-28B7A9CBE615}"/>
              </c:ext>
            </c:extLst>
          </c:dPt>
          <c:dPt>
            <c:idx val="7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CBD0-264E-BBFC-28B7A9CBE615}"/>
              </c:ext>
            </c:extLst>
          </c:dPt>
          <c:xVal>
            <c:numRef>
              <c:f>'P2_Sally&amp;Vanya'!$A$2:$A$11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'P2_Sally&amp;Vanya'!$B$2:$B$11</c:f>
              <c:numCache>
                <c:formatCode>General</c:formatCode>
                <c:ptCount val="10"/>
                <c:pt idx="0">
                  <c:v>50</c:v>
                </c:pt>
                <c:pt idx="1">
                  <c:v>49</c:v>
                </c:pt>
                <c:pt idx="2">
                  <c:v>45</c:v>
                </c:pt>
                <c:pt idx="3">
                  <c:v>66</c:v>
                </c:pt>
                <c:pt idx="4">
                  <c:v>45</c:v>
                </c:pt>
                <c:pt idx="5">
                  <c:v>45</c:v>
                </c:pt>
                <c:pt idx="6">
                  <c:v>23.333333333333332</c:v>
                </c:pt>
                <c:pt idx="7">
                  <c:v>58.333333333333336</c:v>
                </c:pt>
                <c:pt idx="8">
                  <c:v>0</c:v>
                </c:pt>
                <c:pt idx="9">
                  <c:v>21.666666666666668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D0-264E-BBFC-28B7A9CBE615}"/>
            </c:ext>
          </c:extLst>
        </c:ser>
        <c:ser>
          <c:idx val="1"/>
          <c:order val="1"/>
          <c:tx>
            <c:strRef>
              <c:f>'P2_Sally&amp;Vanya'!$C$1</c:f>
              <c:strCache>
                <c:ptCount val="1"/>
                <c:pt idx="0">
                  <c:v>Percent of Scored Intervals in S-delta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triangle"/>
            <c:size val="7"/>
            <c:spPr>
              <a:noFill/>
              <a:ln w="12700">
                <a:solidFill>
                  <a:schemeClr val="tx1"/>
                </a:solidFill>
                <a:prstDash val="sysDash"/>
              </a:ln>
            </c:spPr>
          </c:marker>
          <c:dPt>
            <c:idx val="3"/>
            <c:bubble3D val="0"/>
            <c:spPr>
              <a:ln w="25400">
                <a:noFill/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6-CBD0-264E-BBFC-28B7A9CBE615}"/>
              </c:ext>
            </c:extLst>
          </c:dPt>
          <c:dPt>
            <c:idx val="7"/>
            <c:bubble3D val="0"/>
            <c:spPr>
              <a:ln w="25400">
                <a:noFill/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8-CBD0-264E-BBFC-28B7A9CBE615}"/>
              </c:ext>
            </c:extLst>
          </c:dPt>
          <c:xVal>
            <c:numRef>
              <c:f>'P2_Sally&amp;Vanya'!$A$2:$A$11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'P2_Sally&amp;Vanya'!$C$2:$C$11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72</c:v>
                </c:pt>
                <c:pt idx="3">
                  <c:v>90</c:v>
                </c:pt>
                <c:pt idx="4">
                  <c:v>0</c:v>
                </c:pt>
                <c:pt idx="5">
                  <c:v>46.666666666666664</c:v>
                </c:pt>
                <c:pt idx="6">
                  <c:v>43.333333333333336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D0-264E-BBFC-28B7A9CBE615}"/>
            </c:ext>
          </c:extLst>
        </c:ser>
        <c:ser>
          <c:idx val="2"/>
          <c:order val="2"/>
          <c:tx>
            <c:v>daybreak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Pt>
            <c:idx val="2"/>
            <c:bubble3D val="0"/>
            <c:spPr>
              <a:ln w="12700">
                <a:noFill/>
              </a:ln>
            </c:spPr>
            <c:extLst>
              <c:ext xmlns:c16="http://schemas.microsoft.com/office/drawing/2014/chart" uri="{C3380CC4-5D6E-409C-BE32-E72D297353CC}">
                <c16:uniqueId val="{0000000B-CBD0-264E-BBFC-28B7A9CBE615}"/>
              </c:ext>
            </c:extLst>
          </c:dPt>
          <c:xVal>
            <c:numRef>
              <c:f>'P2_Sally&amp;Vanya'!$F$2:$F$5</c:f>
              <c:numCache>
                <c:formatCode>General</c:formatCode>
                <c:ptCount val="4"/>
                <c:pt idx="0">
                  <c:v>3.5</c:v>
                </c:pt>
                <c:pt idx="1">
                  <c:v>3.5</c:v>
                </c:pt>
                <c:pt idx="2">
                  <c:v>7.5</c:v>
                </c:pt>
                <c:pt idx="3">
                  <c:v>7.5</c:v>
                </c:pt>
              </c:numCache>
            </c:numRef>
          </c:xVal>
          <c:yVal>
            <c:numRef>
              <c:f>'P2_Sally&amp;Vanya'!$G$2:$G$5</c:f>
              <c:numCache>
                <c:formatCode>General</c:formatCode>
                <c:ptCount val="4"/>
                <c:pt idx="0">
                  <c:v>0</c:v>
                </c:pt>
                <c:pt idx="1">
                  <c:v>110</c:v>
                </c:pt>
                <c:pt idx="2">
                  <c:v>0</c:v>
                </c:pt>
                <c:pt idx="3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BD0-264E-BBFC-28B7A9CBE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872632"/>
        <c:axId val="-2081867176"/>
      </c:scatterChart>
      <c:valAx>
        <c:axId val="-2081872632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1867176"/>
        <c:crosses val="autoZero"/>
        <c:crossBetween val="midCat"/>
        <c:majorUnit val="1"/>
      </c:valAx>
      <c:valAx>
        <c:axId val="-208186717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5-s intervals play occurred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18726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barChart>
        <c:barDir val="col"/>
        <c:grouping val="clustered"/>
        <c:varyColors val="0"/>
        <c:ser>
          <c:idx val="0"/>
          <c:order val="0"/>
          <c:tx>
            <c:v>Session 1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'P7_Dax &amp; Fiona'!$B$1:$E$1</c:f>
              <c:strCache>
                <c:ptCount val="4"/>
                <c:pt idx="0">
                  <c:v>0 min</c:v>
                </c:pt>
                <c:pt idx="1">
                  <c:v>30 min</c:v>
                </c:pt>
                <c:pt idx="2">
                  <c:v>120 min</c:v>
                </c:pt>
                <c:pt idx="3">
                  <c:v>&gt; 360 min</c:v>
                </c:pt>
              </c:strCache>
            </c:strRef>
          </c:cat>
          <c:val>
            <c:numRef>
              <c:f>'P3_Rocky&amp;Oaky'!$B$2:$E$2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0-C544-BCA0-A561253AE1E1}"/>
            </c:ext>
          </c:extLst>
        </c:ser>
        <c:ser>
          <c:idx val="1"/>
          <c:order val="1"/>
          <c:tx>
            <c:v>Session 2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'P7_Dax &amp; Fiona'!$B$1:$E$1</c:f>
              <c:strCache>
                <c:ptCount val="4"/>
                <c:pt idx="0">
                  <c:v>0 min</c:v>
                </c:pt>
                <c:pt idx="1">
                  <c:v>30 min</c:v>
                </c:pt>
                <c:pt idx="2">
                  <c:v>120 min</c:v>
                </c:pt>
                <c:pt idx="3">
                  <c:v>&gt; 360 min</c:v>
                </c:pt>
              </c:strCache>
            </c:strRef>
          </c:cat>
          <c:val>
            <c:numRef>
              <c:f>'P3_Rocky&amp;Oaky'!$B$3:$E$3</c:f>
              <c:numCache>
                <c:formatCode>General</c:formatCode>
                <c:ptCount val="4"/>
                <c:pt idx="0">
                  <c:v>164</c:v>
                </c:pt>
                <c:pt idx="1">
                  <c:v>0</c:v>
                </c:pt>
                <c:pt idx="2">
                  <c:v>28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0-C544-BCA0-A561253AE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829000"/>
        <c:axId val="-2081823224"/>
      </c:barChart>
      <c:catAx>
        <c:axId val="-208182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</a:t>
                </a:r>
                <a:r>
                  <a:rPr lang="en-US" baseline="0"/>
                  <a:t> of Owner Deprivation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224928475580403"/>
              <c:y val="0.8722926739420729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081823224"/>
        <c:crosses val="autoZero"/>
        <c:auto val="1"/>
        <c:lblAlgn val="ctr"/>
        <c:lblOffset val="100"/>
        <c:noMultiLvlLbl val="0"/>
      </c:catAx>
      <c:valAx>
        <c:axId val="-2081823224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observed (s)</a:t>
                </a:r>
              </a:p>
            </c:rich>
          </c:tx>
          <c:layout>
            <c:manualLayout>
              <c:xMode val="edge"/>
              <c:yMode val="edge"/>
              <c:x val="3.4965034965035002E-2"/>
              <c:y val="0.19357223204242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81829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46750386105296"/>
          <c:y val="0.209748584058572"/>
          <c:w val="0.11697622604248401"/>
          <c:h val="0.124362481005663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barChart>
        <c:barDir val="col"/>
        <c:grouping val="clustered"/>
        <c:varyColors val="0"/>
        <c:ser>
          <c:idx val="0"/>
          <c:order val="0"/>
          <c:tx>
            <c:v>Session 1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'P7_Dax &amp; Fiona'!$B$1:$E$1</c:f>
              <c:strCache>
                <c:ptCount val="4"/>
                <c:pt idx="0">
                  <c:v>0 min</c:v>
                </c:pt>
                <c:pt idx="1">
                  <c:v>30 min</c:v>
                </c:pt>
                <c:pt idx="2">
                  <c:v>120 min</c:v>
                </c:pt>
                <c:pt idx="3">
                  <c:v>&gt; 360 min</c:v>
                </c:pt>
              </c:strCache>
            </c:strRef>
          </c:cat>
          <c:val>
            <c:numRef>
              <c:f>'P4_Rosie&amp;Carlie'!$B$2:$E$2</c:f>
              <c:numCache>
                <c:formatCode>General</c:formatCode>
                <c:ptCount val="4"/>
                <c:pt idx="0">
                  <c:v>4</c:v>
                </c:pt>
                <c:pt idx="1">
                  <c:v>34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9-594C-B134-6F26447BCCCF}"/>
            </c:ext>
          </c:extLst>
        </c:ser>
        <c:ser>
          <c:idx val="1"/>
          <c:order val="1"/>
          <c:tx>
            <c:v>Session 2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'P7_Dax &amp; Fiona'!$B$1:$E$1</c:f>
              <c:strCache>
                <c:ptCount val="4"/>
                <c:pt idx="0">
                  <c:v>0 min</c:v>
                </c:pt>
                <c:pt idx="1">
                  <c:v>30 min</c:v>
                </c:pt>
                <c:pt idx="2">
                  <c:v>120 min</c:v>
                </c:pt>
                <c:pt idx="3">
                  <c:v>&gt; 360 min</c:v>
                </c:pt>
              </c:strCache>
            </c:strRef>
          </c:cat>
          <c:val>
            <c:numRef>
              <c:f>'P4_Rosie&amp;Carlie'!$B$3:$E$3</c:f>
              <c:numCache>
                <c:formatCode>General</c:formatCode>
                <c:ptCount val="4"/>
                <c:pt idx="0">
                  <c:v>9</c:v>
                </c:pt>
                <c:pt idx="1">
                  <c:v>19</c:v>
                </c:pt>
                <c:pt idx="2">
                  <c:v>21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9-594C-B134-6F26447BC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773896"/>
        <c:axId val="-2081768120"/>
      </c:barChart>
      <c:catAx>
        <c:axId val="-208177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</a:t>
                </a:r>
                <a:r>
                  <a:rPr lang="en-US" baseline="0"/>
                  <a:t> of Owner Deprivation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224928475580403"/>
              <c:y val="0.8722926739420729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081768120"/>
        <c:crosses val="autoZero"/>
        <c:auto val="1"/>
        <c:lblAlgn val="ctr"/>
        <c:lblOffset val="100"/>
        <c:noMultiLvlLbl val="0"/>
      </c:catAx>
      <c:valAx>
        <c:axId val="-2081768120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observed (s)</a:t>
                </a:r>
              </a:p>
            </c:rich>
          </c:tx>
          <c:layout>
            <c:manualLayout>
              <c:xMode val="edge"/>
              <c:yMode val="edge"/>
              <c:x val="3.4965034965035002E-2"/>
              <c:y val="0.19357223204242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8177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barChart>
        <c:barDir val="col"/>
        <c:grouping val="clustered"/>
        <c:varyColors val="0"/>
        <c:ser>
          <c:idx val="0"/>
          <c:order val="0"/>
          <c:tx>
            <c:v>Session 1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'P7_Dax &amp; Fiona'!$B$1:$E$1</c:f>
              <c:strCache>
                <c:ptCount val="4"/>
                <c:pt idx="0">
                  <c:v>0 min</c:v>
                </c:pt>
                <c:pt idx="1">
                  <c:v>30 min</c:v>
                </c:pt>
                <c:pt idx="2">
                  <c:v>120 min</c:v>
                </c:pt>
                <c:pt idx="3">
                  <c:v>&gt; 360 min</c:v>
                </c:pt>
              </c:strCache>
            </c:strRef>
          </c:cat>
          <c:val>
            <c:numRef>
              <c:f>'P7_Dax &amp; Fiona'!$B$2:$E$2</c:f>
              <c:numCache>
                <c:formatCode>General</c:formatCode>
                <c:ptCount val="4"/>
                <c:pt idx="0">
                  <c:v>17</c:v>
                </c:pt>
                <c:pt idx="1">
                  <c:v>23</c:v>
                </c:pt>
                <c:pt idx="2">
                  <c:v>0</c:v>
                </c:pt>
                <c:pt idx="3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F-5443-BFE8-069C020DE67B}"/>
            </c:ext>
          </c:extLst>
        </c:ser>
        <c:ser>
          <c:idx val="1"/>
          <c:order val="1"/>
          <c:tx>
            <c:v>Session 2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'P7_Dax &amp; Fiona'!$B$1:$E$1</c:f>
              <c:strCache>
                <c:ptCount val="4"/>
                <c:pt idx="0">
                  <c:v>0 min</c:v>
                </c:pt>
                <c:pt idx="1">
                  <c:v>30 min</c:v>
                </c:pt>
                <c:pt idx="2">
                  <c:v>120 min</c:v>
                </c:pt>
                <c:pt idx="3">
                  <c:v>&gt; 360 min</c:v>
                </c:pt>
              </c:strCache>
            </c:strRef>
          </c:cat>
          <c:val>
            <c:numRef>
              <c:f>'P7_Dax &amp; Fiona'!$B$3:$E$3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F-5443-BFE8-069C020DE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721512"/>
        <c:axId val="-2081715736"/>
      </c:barChart>
      <c:catAx>
        <c:axId val="-208172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</a:t>
                </a:r>
                <a:r>
                  <a:rPr lang="en-US" baseline="0"/>
                  <a:t> of Owner Deprivation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224928475580403"/>
              <c:y val="0.8722926739420729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081715736"/>
        <c:crosses val="autoZero"/>
        <c:auto val="1"/>
        <c:lblAlgn val="ctr"/>
        <c:lblOffset val="100"/>
        <c:noMultiLvlLbl val="0"/>
      </c:catAx>
      <c:valAx>
        <c:axId val="-2081715736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observed (s)</a:t>
                </a:r>
              </a:p>
            </c:rich>
          </c:tx>
          <c:layout>
            <c:manualLayout>
              <c:xMode val="edge"/>
              <c:yMode val="edge"/>
              <c:x val="3.4965034965035002E-2"/>
              <c:y val="0.19357223204242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8172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barChart>
        <c:barDir val="col"/>
        <c:grouping val="clustered"/>
        <c:varyColors val="0"/>
        <c:ser>
          <c:idx val="0"/>
          <c:order val="0"/>
          <c:tx>
            <c:v>Session 1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'P7_Dax &amp; Fiona'!$B$1:$E$1</c:f>
              <c:strCache>
                <c:ptCount val="4"/>
                <c:pt idx="0">
                  <c:v>0 min</c:v>
                </c:pt>
                <c:pt idx="1">
                  <c:v>30 min</c:v>
                </c:pt>
                <c:pt idx="2">
                  <c:v>120 min</c:v>
                </c:pt>
                <c:pt idx="3">
                  <c:v>&gt; 360 min</c:v>
                </c:pt>
              </c:strCache>
            </c:strRef>
          </c:cat>
          <c:val>
            <c:numRef>
              <c:f>'P8_Misha&amp;Houston'!$B$2:$E$2</c:f>
              <c:numCache>
                <c:formatCode>General</c:formatCode>
                <c:ptCount val="4"/>
                <c:pt idx="0">
                  <c:v>26</c:v>
                </c:pt>
                <c:pt idx="1">
                  <c:v>99</c:v>
                </c:pt>
                <c:pt idx="2">
                  <c:v>4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F-8140-B633-AA6EFC69D54D}"/>
            </c:ext>
          </c:extLst>
        </c:ser>
        <c:ser>
          <c:idx val="1"/>
          <c:order val="1"/>
          <c:tx>
            <c:v>Session 2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'P7_Dax &amp; Fiona'!$B$1:$E$1</c:f>
              <c:strCache>
                <c:ptCount val="4"/>
                <c:pt idx="0">
                  <c:v>0 min</c:v>
                </c:pt>
                <c:pt idx="1">
                  <c:v>30 min</c:v>
                </c:pt>
                <c:pt idx="2">
                  <c:v>120 min</c:v>
                </c:pt>
                <c:pt idx="3">
                  <c:v>&gt; 360 min</c:v>
                </c:pt>
              </c:strCache>
            </c:strRef>
          </c:cat>
          <c:val>
            <c:numRef>
              <c:f>'P8_Misha&amp;Houston'!$B$3:$E$3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9</c:v>
                </c:pt>
                <c:pt idx="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F-8140-B633-AA6EFC69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671688"/>
        <c:axId val="-2081665912"/>
      </c:barChart>
      <c:catAx>
        <c:axId val="-208167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</a:t>
                </a:r>
                <a:r>
                  <a:rPr lang="en-US" baseline="0"/>
                  <a:t> of Owner Deprivation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224928475580403"/>
              <c:y val="0.8722926739420729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081665912"/>
        <c:crosses val="autoZero"/>
        <c:auto val="1"/>
        <c:lblAlgn val="ctr"/>
        <c:lblOffset val="100"/>
        <c:noMultiLvlLbl val="0"/>
      </c:catAx>
      <c:valAx>
        <c:axId val="-2081665912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observed (s)</a:t>
                </a:r>
              </a:p>
            </c:rich>
          </c:tx>
          <c:layout>
            <c:manualLayout>
              <c:xMode val="edge"/>
              <c:yMode val="edge"/>
              <c:x val="3.4965034965035002E-2"/>
              <c:y val="0.19357223204242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8167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barChart>
        <c:barDir val="col"/>
        <c:grouping val="clustered"/>
        <c:varyColors val="0"/>
        <c:ser>
          <c:idx val="0"/>
          <c:order val="0"/>
          <c:tx>
            <c:v>Session 1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'P7_Dax &amp; Fiona'!$B$1:$E$1</c:f>
              <c:strCache>
                <c:ptCount val="4"/>
                <c:pt idx="0">
                  <c:v>0 min</c:v>
                </c:pt>
                <c:pt idx="1">
                  <c:v>30 min</c:v>
                </c:pt>
                <c:pt idx="2">
                  <c:v>120 min</c:v>
                </c:pt>
                <c:pt idx="3">
                  <c:v>&gt; 360 min</c:v>
                </c:pt>
              </c:strCache>
            </c:strRef>
          </c:cat>
          <c:val>
            <c:numRef>
              <c:f>'P9_Gunner&amp;Cato'!$C$2:$F$2</c:f>
              <c:numCache>
                <c:formatCode>General</c:formatCode>
                <c:ptCount val="4"/>
                <c:pt idx="0">
                  <c:v>115</c:v>
                </c:pt>
                <c:pt idx="1">
                  <c:v>156</c:v>
                </c:pt>
                <c:pt idx="2">
                  <c:v>193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8-354D-940F-DDD1516D08DE}"/>
            </c:ext>
          </c:extLst>
        </c:ser>
        <c:ser>
          <c:idx val="1"/>
          <c:order val="1"/>
          <c:tx>
            <c:v>Session 2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'P7_Dax &amp; Fiona'!$B$1:$E$1</c:f>
              <c:strCache>
                <c:ptCount val="4"/>
                <c:pt idx="0">
                  <c:v>0 min</c:v>
                </c:pt>
                <c:pt idx="1">
                  <c:v>30 min</c:v>
                </c:pt>
                <c:pt idx="2">
                  <c:v>120 min</c:v>
                </c:pt>
                <c:pt idx="3">
                  <c:v>&gt; 360 min</c:v>
                </c:pt>
              </c:strCache>
            </c:strRef>
          </c:cat>
          <c:val>
            <c:numRef>
              <c:f>'P9_Gunner&amp;Cato'!$C$3:$F$3</c:f>
              <c:numCache>
                <c:formatCode>General</c:formatCode>
                <c:ptCount val="4"/>
                <c:pt idx="0">
                  <c:v>4</c:v>
                </c:pt>
                <c:pt idx="1">
                  <c:v>106</c:v>
                </c:pt>
                <c:pt idx="2">
                  <c:v>119</c:v>
                </c:pt>
                <c:pt idx="3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8-354D-940F-DDD1516D0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624584"/>
        <c:axId val="-2081618808"/>
      </c:barChart>
      <c:catAx>
        <c:axId val="-208162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</a:t>
                </a:r>
                <a:r>
                  <a:rPr lang="en-US" baseline="0"/>
                  <a:t> of Owner Deprivation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224928475580403"/>
              <c:y val="0.8722926739420729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081618808"/>
        <c:crosses val="autoZero"/>
        <c:auto val="1"/>
        <c:lblAlgn val="ctr"/>
        <c:lblOffset val="100"/>
        <c:noMultiLvlLbl val="0"/>
      </c:catAx>
      <c:valAx>
        <c:axId val="-2081618808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observed (s)</a:t>
                </a:r>
              </a:p>
            </c:rich>
          </c:tx>
          <c:layout>
            <c:manualLayout>
              <c:xMode val="edge"/>
              <c:yMode val="edge"/>
              <c:x val="3.4965034965035002E-2"/>
              <c:y val="0.19357223204242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8162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27</xdr:row>
      <xdr:rowOff>165100</xdr:rowOff>
    </xdr:from>
    <xdr:to>
      <xdr:col>13</xdr:col>
      <xdr:colOff>241300</xdr:colOff>
      <xdr:row>44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40</xdr:row>
      <xdr:rowOff>139700</xdr:rowOff>
    </xdr:from>
    <xdr:to>
      <xdr:col>13</xdr:col>
      <xdr:colOff>520700</xdr:colOff>
      <xdr:row>42</xdr:row>
      <xdr:rowOff>12700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985000" y="7759700"/>
          <a:ext cx="48768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/>
              <a:cs typeface="Arial"/>
            </a:rPr>
            <a:t>Control	      30</a:t>
          </a:r>
          <a:r>
            <a:rPr lang="en-US" sz="1100" baseline="0">
              <a:latin typeface="Arial"/>
              <a:cs typeface="Arial"/>
            </a:rPr>
            <a:t> min	            2 hr	               &gt; 6 hr</a:t>
          </a:r>
          <a:endParaRPr lang="en-US" sz="1100"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152400</xdr:colOff>
      <xdr:row>10</xdr:row>
      <xdr:rowOff>63500</xdr:rowOff>
    </xdr:from>
    <xdr:to>
      <xdr:col>13</xdr:col>
      <xdr:colOff>215900</xdr:colOff>
      <xdr:row>26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558800</xdr:colOff>
      <xdr:row>23</xdr:row>
      <xdr:rowOff>76200</xdr:rowOff>
    </xdr:from>
    <xdr:to>
      <xdr:col>13</xdr:col>
      <xdr:colOff>482600</xdr:colOff>
      <xdr:row>24</xdr:row>
      <xdr:rowOff>139700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6946900" y="4457700"/>
          <a:ext cx="48768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/>
              <a:cs typeface="Arial"/>
            </a:rPr>
            <a:t>Control	      30</a:t>
          </a:r>
          <a:r>
            <a:rPr lang="en-US" sz="1100" baseline="0">
              <a:latin typeface="Arial"/>
              <a:cs typeface="Arial"/>
            </a:rPr>
            <a:t> min	            2 hr	               &gt; 6 hr</a:t>
          </a:r>
          <a:endParaRPr lang="en-US" sz="1100"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762000</xdr:colOff>
      <xdr:row>50</xdr:row>
      <xdr:rowOff>76200</xdr:rowOff>
    </xdr:from>
    <xdr:to>
      <xdr:col>12</xdr:col>
      <xdr:colOff>381000</xdr:colOff>
      <xdr:row>64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10</xdr:col>
      <xdr:colOff>469900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1</xdr:row>
      <xdr:rowOff>19050</xdr:rowOff>
    </xdr:from>
    <xdr:to>
      <xdr:col>15</xdr:col>
      <xdr:colOff>482600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6</xdr:row>
      <xdr:rowOff>0</xdr:rowOff>
    </xdr:from>
    <xdr:to>
      <xdr:col>6</xdr:col>
      <xdr:colOff>317500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0.12379</cdr:x>
      <cdr:y>0.08187</cdr:y>
    </cdr:from>
    <cdr:to>
      <cdr:x>0.56431</cdr:x>
      <cdr:y>0.22222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77900" y="355600"/>
          <a:ext cx="3479800" cy="609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latin typeface="Arial"/>
              <a:cs typeface="Arial"/>
            </a:rPr>
            <a:t>ROCKY</a:t>
          </a:r>
          <a:r>
            <a:rPr lang="en-US" sz="1400" b="1" i="1" baseline="0">
              <a:latin typeface="Arial"/>
              <a:cs typeface="Arial"/>
            </a:rPr>
            <a:t> &amp; OAKY (EXPERIMENT 2)</a:t>
          </a:r>
          <a:endParaRPr lang="en-US" sz="1400" b="1" i="1">
            <a:latin typeface="Arial"/>
            <a:cs typeface="Arial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6</xdr:row>
      <xdr:rowOff>165100</xdr:rowOff>
    </xdr:from>
    <xdr:to>
      <xdr:col>11</xdr:col>
      <xdr:colOff>444500</xdr:colOff>
      <xdr:row>29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8</xdr:row>
      <xdr:rowOff>114300</xdr:rowOff>
    </xdr:from>
    <xdr:to>
      <xdr:col>7</xdr:col>
      <xdr:colOff>279400</xdr:colOff>
      <xdr:row>11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2578100" y="1638300"/>
          <a:ext cx="34798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1">
              <a:latin typeface="Arial"/>
              <a:cs typeface="Arial"/>
            </a:rPr>
            <a:t>ROSIE &amp; CARLIE</a:t>
          </a:r>
          <a:r>
            <a:rPr lang="en-US" sz="1400" b="1" i="1" baseline="0">
              <a:latin typeface="Arial"/>
              <a:cs typeface="Arial"/>
            </a:rPr>
            <a:t> (EXPERIMENT 2)</a:t>
          </a:r>
          <a:endParaRPr lang="en-US" sz="1400" b="1" i="1"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7</xdr:row>
      <xdr:rowOff>101600</xdr:rowOff>
    </xdr:from>
    <xdr:to>
      <xdr:col>13</xdr:col>
      <xdr:colOff>215900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368300</xdr:colOff>
      <xdr:row>9</xdr:row>
      <xdr:rowOff>38100</xdr:rowOff>
    </xdr:from>
    <xdr:to>
      <xdr:col>8</xdr:col>
      <xdr:colOff>546100</xdr:colOff>
      <xdr:row>12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3670300" y="1752600"/>
          <a:ext cx="34798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1">
              <a:latin typeface="Arial"/>
              <a:cs typeface="Arial"/>
            </a:rPr>
            <a:t>DAX &amp;</a:t>
          </a:r>
          <a:r>
            <a:rPr lang="en-US" sz="1400" b="1" i="1" baseline="0">
              <a:latin typeface="Arial"/>
              <a:cs typeface="Arial"/>
            </a:rPr>
            <a:t> FIONA (EXPERIMENT 2)</a:t>
          </a:r>
          <a:endParaRPr lang="en-US" sz="1400" b="1" i="1"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12</xdr:col>
      <xdr:colOff>469900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6</xdr:row>
      <xdr:rowOff>139700</xdr:rowOff>
    </xdr:from>
    <xdr:to>
      <xdr:col>11</xdr:col>
      <xdr:colOff>444500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9</xdr:row>
      <xdr:rowOff>12700</xdr:rowOff>
    </xdr:from>
    <xdr:to>
      <xdr:col>7</xdr:col>
      <xdr:colOff>330200</xdr:colOff>
      <xdr:row>12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2628900" y="1727200"/>
          <a:ext cx="34798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1">
              <a:latin typeface="Arial"/>
              <a:cs typeface="Arial"/>
            </a:rPr>
            <a:t>CATO &amp; GUNNER </a:t>
          </a:r>
          <a:r>
            <a:rPr lang="en-US" sz="1400" b="1" i="1" baseline="0">
              <a:latin typeface="Arial"/>
              <a:cs typeface="Arial"/>
            </a:rPr>
            <a:t>(EXPERIMENT 2)</a:t>
          </a:r>
          <a:endParaRPr lang="en-US" sz="1400" b="1" i="1">
            <a:latin typeface="Arial"/>
            <a:cs typeface="Arial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7</xdr:row>
      <xdr:rowOff>0</xdr:rowOff>
    </xdr:from>
    <xdr:to>
      <xdr:col>39</xdr:col>
      <xdr:colOff>469900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177800</xdr:colOff>
      <xdr:row>9</xdr:row>
      <xdr:rowOff>63500</xdr:rowOff>
    </xdr:from>
    <xdr:to>
      <xdr:col>35</xdr:col>
      <xdr:colOff>355600</xdr:colOff>
      <xdr:row>12</xdr:row>
      <xdr:rowOff>101600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25768300" y="1778000"/>
          <a:ext cx="34798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1">
              <a:latin typeface="Arial"/>
              <a:cs typeface="Arial"/>
            </a:rPr>
            <a:t>COFFEE</a:t>
          </a:r>
          <a:r>
            <a:rPr lang="en-US" sz="1400" b="1" i="1" baseline="0">
              <a:latin typeface="Arial"/>
              <a:cs typeface="Arial"/>
            </a:rPr>
            <a:t> &amp; MASON (EXPERIMENT 2)</a:t>
          </a:r>
          <a:endParaRPr lang="en-US" sz="1400" b="1" i="1"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3"/>
  <sheetViews>
    <sheetView workbookViewId="0">
      <selection activeCell="O32" sqref="O32"/>
    </sheetView>
  </sheetViews>
  <sheetFormatPr baseColWidth="10" defaultRowHeight="16"/>
  <cols>
    <col min="2" max="2" width="18.83203125" bestFit="1" customWidth="1"/>
  </cols>
  <sheetData>
    <row r="1" spans="1:37">
      <c r="A1" t="s">
        <v>9</v>
      </c>
      <c r="P1" t="s">
        <v>10</v>
      </c>
    </row>
    <row r="2" spans="1:37">
      <c r="P2" t="s">
        <v>11</v>
      </c>
      <c r="Q2" t="s">
        <v>20</v>
      </c>
      <c r="R2" t="s">
        <v>22</v>
      </c>
      <c r="S2" t="s">
        <v>24</v>
      </c>
      <c r="T2" t="s">
        <v>26</v>
      </c>
      <c r="U2" t="s">
        <v>28</v>
      </c>
      <c r="V2" t="s">
        <v>30</v>
      </c>
      <c r="W2" t="s">
        <v>32</v>
      </c>
      <c r="X2" t="s">
        <v>34</v>
      </c>
      <c r="Y2" t="s">
        <v>36</v>
      </c>
      <c r="AB2" t="s">
        <v>12</v>
      </c>
      <c r="AC2" t="s">
        <v>21</v>
      </c>
      <c r="AD2" t="s">
        <v>23</v>
      </c>
      <c r="AE2" t="s">
        <v>25</v>
      </c>
      <c r="AF2" t="s">
        <v>27</v>
      </c>
      <c r="AG2" t="s">
        <v>29</v>
      </c>
      <c r="AH2" t="s">
        <v>31</v>
      </c>
      <c r="AI2" t="s">
        <v>33</v>
      </c>
      <c r="AJ2" t="s">
        <v>35</v>
      </c>
      <c r="AK2" t="s">
        <v>37</v>
      </c>
    </row>
    <row r="3" spans="1:37">
      <c r="A3" t="s">
        <v>48</v>
      </c>
      <c r="B3" t="s">
        <v>45</v>
      </c>
      <c r="C3" t="s">
        <v>40</v>
      </c>
      <c r="D3" t="s">
        <v>46</v>
      </c>
      <c r="E3" t="s">
        <v>47</v>
      </c>
      <c r="O3" t="s">
        <v>13</v>
      </c>
    </row>
    <row r="4" spans="1:37">
      <c r="A4" t="s">
        <v>14</v>
      </c>
      <c r="B4" s="4">
        <v>0</v>
      </c>
      <c r="C4" s="4">
        <v>0</v>
      </c>
      <c r="D4" s="4">
        <v>0</v>
      </c>
      <c r="E4" s="4">
        <v>0</v>
      </c>
      <c r="O4" t="s">
        <v>14</v>
      </c>
      <c r="P4">
        <v>50</v>
      </c>
      <c r="Q4">
        <v>49</v>
      </c>
      <c r="R4">
        <v>45</v>
      </c>
      <c r="S4">
        <v>66</v>
      </c>
      <c r="T4">
        <v>45</v>
      </c>
      <c r="U4">
        <v>45</v>
      </c>
      <c r="V4">
        <v>23.333333333333332</v>
      </c>
      <c r="W4">
        <v>58.333333333333336</v>
      </c>
      <c r="X4">
        <v>0</v>
      </c>
      <c r="Y4">
        <v>21.666666666666668</v>
      </c>
      <c r="AB4">
        <v>0</v>
      </c>
      <c r="AC4">
        <v>0</v>
      </c>
      <c r="AD4">
        <v>72</v>
      </c>
      <c r="AE4">
        <v>90</v>
      </c>
      <c r="AF4">
        <v>0</v>
      </c>
      <c r="AG4">
        <v>46.666666666666664</v>
      </c>
      <c r="AH4">
        <v>43.333333333333336</v>
      </c>
      <c r="AI4" s="4">
        <v>80</v>
      </c>
      <c r="AJ4">
        <v>0</v>
      </c>
      <c r="AK4">
        <v>0</v>
      </c>
    </row>
    <row r="5" spans="1:37">
      <c r="A5" t="s">
        <v>15</v>
      </c>
      <c r="B5" s="4">
        <v>164</v>
      </c>
      <c r="C5" s="4">
        <v>0</v>
      </c>
      <c r="D5" s="4">
        <v>32</v>
      </c>
      <c r="E5" s="4">
        <v>100</v>
      </c>
      <c r="O5" t="s">
        <v>15</v>
      </c>
      <c r="P5">
        <v>16.666666666666664</v>
      </c>
      <c r="Q5">
        <v>5</v>
      </c>
      <c r="R5">
        <v>21.666666666666668</v>
      </c>
      <c r="S5">
        <v>68.333333333333329</v>
      </c>
      <c r="T5">
        <v>16.666666666666664</v>
      </c>
      <c r="U5">
        <v>86.666666666666671</v>
      </c>
      <c r="V5">
        <v>53.333333333333336</v>
      </c>
      <c r="W5">
        <v>30</v>
      </c>
      <c r="X5">
        <v>46.666666666666664</v>
      </c>
      <c r="Y5">
        <v>61.666666666666671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>
      <c r="A6" t="s">
        <v>16</v>
      </c>
      <c r="B6">
        <v>13</v>
      </c>
      <c r="C6">
        <f>34+19</f>
        <v>53</v>
      </c>
      <c r="D6">
        <f>12+21</f>
        <v>33</v>
      </c>
      <c r="E6">
        <v>9</v>
      </c>
      <c r="O6" t="s">
        <v>16</v>
      </c>
      <c r="P6">
        <v>11.666666666666666</v>
      </c>
      <c r="Q6">
        <v>1.6666666666666667</v>
      </c>
      <c r="R6">
        <v>1.6666666666666667</v>
      </c>
      <c r="S6">
        <v>11.666666666666666</v>
      </c>
      <c r="T6">
        <v>6.666666666666667</v>
      </c>
      <c r="U6">
        <v>10</v>
      </c>
      <c r="V6">
        <v>0</v>
      </c>
      <c r="W6">
        <v>0</v>
      </c>
      <c r="X6">
        <v>0</v>
      </c>
      <c r="Y6">
        <v>6.666666666666667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>
      <c r="A7" t="s">
        <v>17</v>
      </c>
      <c r="B7">
        <v>0</v>
      </c>
      <c r="C7">
        <v>0</v>
      </c>
      <c r="D7">
        <v>0</v>
      </c>
      <c r="E7">
        <v>0</v>
      </c>
      <c r="O7" t="s">
        <v>17</v>
      </c>
      <c r="P7">
        <v>41.666666666666671</v>
      </c>
      <c r="Q7">
        <v>25</v>
      </c>
      <c r="R7">
        <v>66.666666666666657</v>
      </c>
      <c r="S7">
        <v>58.333333333333336</v>
      </c>
      <c r="T7">
        <v>0</v>
      </c>
      <c r="U7">
        <v>21.666666666666668</v>
      </c>
      <c r="V7">
        <v>30</v>
      </c>
      <c r="W7">
        <v>33.333333333333329</v>
      </c>
      <c r="X7">
        <v>55.000000000000007</v>
      </c>
      <c r="Y7">
        <v>0</v>
      </c>
      <c r="AB7">
        <v>0</v>
      </c>
      <c r="AC7">
        <v>0</v>
      </c>
      <c r="AD7">
        <v>0</v>
      </c>
      <c r="AE7">
        <v>36.666666666666664</v>
      </c>
      <c r="AF7">
        <v>0</v>
      </c>
      <c r="AG7">
        <v>0</v>
      </c>
      <c r="AH7">
        <v>28.333333333333332</v>
      </c>
      <c r="AI7">
        <v>0</v>
      </c>
      <c r="AJ7">
        <v>0</v>
      </c>
      <c r="AK7">
        <v>0</v>
      </c>
    </row>
    <row r="8" spans="1:37">
      <c r="A8" t="s">
        <v>18</v>
      </c>
      <c r="B8">
        <v>17</v>
      </c>
      <c r="C8">
        <v>27</v>
      </c>
      <c r="D8">
        <v>0</v>
      </c>
      <c r="E8">
        <f>198+192</f>
        <v>390</v>
      </c>
      <c r="O8" t="s">
        <v>18</v>
      </c>
      <c r="P8">
        <v>16.666666666666664</v>
      </c>
      <c r="Q8">
        <v>18.333333333333332</v>
      </c>
      <c r="R8">
        <v>13.333333333333334</v>
      </c>
      <c r="S8">
        <v>0</v>
      </c>
      <c r="T8">
        <v>46.666666666666664</v>
      </c>
      <c r="U8">
        <v>50</v>
      </c>
      <c r="V8">
        <v>53.333333333333336</v>
      </c>
      <c r="W8">
        <v>45</v>
      </c>
      <c r="X8">
        <v>75</v>
      </c>
      <c r="Y8">
        <v>38.333333333333336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23.333333333333332</v>
      </c>
      <c r="AK8">
        <v>48.333333333333336</v>
      </c>
    </row>
    <row r="9" spans="1:37">
      <c r="A9" t="s">
        <v>19</v>
      </c>
      <c r="B9">
        <f>26+3</f>
        <v>29</v>
      </c>
      <c r="C9">
        <v>99</v>
      </c>
      <c r="D9">
        <v>13</v>
      </c>
      <c r="E9">
        <f>71+92</f>
        <v>163</v>
      </c>
      <c r="O9" t="s">
        <v>19</v>
      </c>
    </row>
    <row r="10" spans="1:37">
      <c r="A10" t="s">
        <v>49</v>
      </c>
      <c r="B10">
        <v>119</v>
      </c>
      <c r="C10">
        <f>156+106</f>
        <v>262</v>
      </c>
      <c r="D10">
        <f>193+119</f>
        <v>312</v>
      </c>
      <c r="E10">
        <f>49+203</f>
        <v>252</v>
      </c>
      <c r="O10" s="5" t="s">
        <v>38</v>
      </c>
      <c r="P10" s="5">
        <f t="shared" ref="P10:Y10" si="0">AVERAGE(P4:P8)</f>
        <v>27.333333333333332</v>
      </c>
      <c r="Q10" s="5">
        <f t="shared" si="0"/>
        <v>19.799999999999997</v>
      </c>
      <c r="R10" s="5">
        <f t="shared" si="0"/>
        <v>29.666666666666668</v>
      </c>
      <c r="S10" s="5">
        <f t="shared" si="0"/>
        <v>40.86666666666666</v>
      </c>
      <c r="T10" s="5">
        <f t="shared" si="0"/>
        <v>23</v>
      </c>
      <c r="U10" s="5">
        <f t="shared" si="0"/>
        <v>42.666666666666671</v>
      </c>
      <c r="V10" s="5">
        <f t="shared" si="0"/>
        <v>32</v>
      </c>
      <c r="W10" s="5">
        <f t="shared" si="0"/>
        <v>33.333333333333336</v>
      </c>
      <c r="X10" s="5">
        <f t="shared" si="0"/>
        <v>35.333333333333336</v>
      </c>
      <c r="Y10" s="5">
        <f t="shared" si="0"/>
        <v>25.666666666666668</v>
      </c>
      <c r="Z10" s="6"/>
      <c r="AA10" s="7" t="s">
        <v>38</v>
      </c>
      <c r="AB10" s="7">
        <f t="shared" ref="AB10:AK10" si="1">AVERAGE(AB4:AB8)</f>
        <v>0</v>
      </c>
      <c r="AC10" s="7">
        <f t="shared" si="1"/>
        <v>0</v>
      </c>
      <c r="AD10" s="7">
        <f t="shared" si="1"/>
        <v>14.4</v>
      </c>
      <c r="AE10" s="7">
        <f t="shared" si="1"/>
        <v>25.333333333333332</v>
      </c>
      <c r="AF10" s="7">
        <f t="shared" si="1"/>
        <v>0</v>
      </c>
      <c r="AG10" s="7">
        <f t="shared" si="1"/>
        <v>9.3333333333333321</v>
      </c>
      <c r="AH10" s="7">
        <f t="shared" si="1"/>
        <v>14.333333333333334</v>
      </c>
      <c r="AI10" s="7">
        <f t="shared" si="1"/>
        <v>16</v>
      </c>
      <c r="AJ10" s="7">
        <f t="shared" si="1"/>
        <v>4.6666666666666661</v>
      </c>
      <c r="AK10" s="7">
        <f t="shared" si="1"/>
        <v>9.6666666666666679</v>
      </c>
    </row>
    <row r="11" spans="1:37">
      <c r="A11" t="s">
        <v>50</v>
      </c>
      <c r="B11">
        <f>83+12</f>
        <v>95</v>
      </c>
      <c r="C11">
        <v>24</v>
      </c>
      <c r="D11">
        <v>141</v>
      </c>
      <c r="E11">
        <v>7</v>
      </c>
      <c r="O11" t="s">
        <v>39</v>
      </c>
      <c r="P11">
        <f>P10/SQRT(5)</f>
        <v>12.223838276998849</v>
      </c>
      <c r="Q11">
        <f t="shared" ref="Q11:Y11" si="2">Q10/SQRT(5)</f>
        <v>8.8548291908991654</v>
      </c>
      <c r="R11">
        <f t="shared" si="2"/>
        <v>13.267336666498752</v>
      </c>
      <c r="S11">
        <f t="shared" si="2"/>
        <v>18.276128936098278</v>
      </c>
      <c r="T11">
        <f t="shared" si="2"/>
        <v>10.285912696499032</v>
      </c>
      <c r="U11">
        <f t="shared" si="2"/>
        <v>19.081113407998206</v>
      </c>
      <c r="V11">
        <f t="shared" si="2"/>
        <v>14.310835055998654</v>
      </c>
      <c r="W11">
        <f t="shared" si="2"/>
        <v>14.907119849998598</v>
      </c>
      <c r="X11">
        <f t="shared" si="2"/>
        <v>15.801547040998514</v>
      </c>
      <c r="Y11">
        <f t="shared" si="2"/>
        <v>11.47848228449892</v>
      </c>
      <c r="AA11" t="s">
        <v>39</v>
      </c>
      <c r="AB11">
        <f>AB10/SQRT(5)</f>
        <v>0</v>
      </c>
      <c r="AC11">
        <f t="shared" ref="AC11" si="3">AC10/SQRT(5)</f>
        <v>0</v>
      </c>
      <c r="AD11">
        <f t="shared" ref="AD11" si="4">AD10/SQRT(5)</f>
        <v>6.4398757751993942</v>
      </c>
      <c r="AE11">
        <f t="shared" ref="AE11" si="5">AE10/SQRT(5)</f>
        <v>11.329411085998933</v>
      </c>
      <c r="AF11">
        <f t="shared" ref="AF11" si="6">AF10/SQRT(5)</f>
        <v>0</v>
      </c>
      <c r="AG11">
        <f t="shared" ref="AG11" si="7">AG10/SQRT(5)</f>
        <v>4.1739935579996068</v>
      </c>
      <c r="AH11">
        <f t="shared" ref="AH11" si="8">AH10/SQRT(5)</f>
        <v>6.4100615354993975</v>
      </c>
      <c r="AI11">
        <f t="shared" ref="AI11" si="9">AI10/SQRT(5)</f>
        <v>7.1554175279993268</v>
      </c>
      <c r="AJ11">
        <f t="shared" ref="AJ11" si="10">AJ10/SQRT(5)</f>
        <v>2.0869967789998034</v>
      </c>
      <c r="AK11">
        <f t="shared" ref="AK11" si="11">AK10/SQRT(5)</f>
        <v>4.3230647564995941</v>
      </c>
    </row>
    <row r="12" spans="1:37">
      <c r="A12" t="s">
        <v>51</v>
      </c>
      <c r="B12">
        <v>6</v>
      </c>
      <c r="C12">
        <v>4</v>
      </c>
      <c r="D12">
        <v>9</v>
      </c>
      <c r="E12">
        <v>28</v>
      </c>
    </row>
    <row r="13" spans="1:37">
      <c r="A13" s="1" t="s">
        <v>52</v>
      </c>
      <c r="B13">
        <f>SUM(B4:B12)</f>
        <v>443</v>
      </c>
      <c r="C13">
        <f>SUM(C4:C12)</f>
        <v>469</v>
      </c>
      <c r="D13">
        <f>SUM(D4:D12)</f>
        <v>540</v>
      </c>
      <c r="E13">
        <f>SUM(E4:E12)</f>
        <v>949</v>
      </c>
    </row>
    <row r="14" spans="1:37">
      <c r="A14" s="1" t="s">
        <v>38</v>
      </c>
      <c r="B14">
        <f>AVERAGE(B4:B12)</f>
        <v>49.222222222222221</v>
      </c>
      <c r="C14">
        <f>AVERAGE(C4:C12)</f>
        <v>52.111111111111114</v>
      </c>
      <c r="D14">
        <f>AVERAGE(D4:D12)</f>
        <v>60</v>
      </c>
      <c r="E14">
        <f>AVERAGE(E4:E12)</f>
        <v>105.44444444444444</v>
      </c>
    </row>
    <row r="15" spans="1:37">
      <c r="A15" t="s">
        <v>53</v>
      </c>
      <c r="B15">
        <f>STDEV(B4:B12)</f>
        <v>60.839497404600941</v>
      </c>
      <c r="C15">
        <f>STDEV(C4:C12)</f>
        <v>85.245886182918596</v>
      </c>
      <c r="D15">
        <f>STDEV(D4:D12)</f>
        <v>104.39588114480379</v>
      </c>
      <c r="E15">
        <f>STDEV(E4:E12)</f>
        <v>138.30230575727137</v>
      </c>
    </row>
    <row r="16" spans="1:37">
      <c r="A16" t="s">
        <v>54</v>
      </c>
      <c r="B16">
        <f>B15/SQRT(9)</f>
        <v>20.279832468200315</v>
      </c>
      <c r="C16">
        <f>C15/SQRT(9)</f>
        <v>28.415295394306199</v>
      </c>
      <c r="D16">
        <f>D15/SQRT(9)</f>
        <v>34.798627048267932</v>
      </c>
      <c r="E16">
        <f>E15/SQRT(9)</f>
        <v>46.100768585757123</v>
      </c>
    </row>
    <row r="23" spans="2:5">
      <c r="B23" t="s">
        <v>57</v>
      </c>
    </row>
    <row r="24" spans="2:5">
      <c r="B24" t="s">
        <v>58</v>
      </c>
    </row>
    <row r="25" spans="2:5">
      <c r="B25" t="s">
        <v>60</v>
      </c>
    </row>
    <row r="26" spans="2:5">
      <c r="B26" t="s">
        <v>59</v>
      </c>
    </row>
    <row r="28" spans="2:5">
      <c r="B28" s="4"/>
      <c r="C28" s="4"/>
      <c r="D28" s="4"/>
      <c r="E28" s="4"/>
    </row>
    <row r="29" spans="2:5">
      <c r="B29" s="4"/>
      <c r="C29" s="4"/>
      <c r="D29" s="4"/>
      <c r="E29" s="4"/>
    </row>
    <row r="38" spans="1:5">
      <c r="B38" s="4"/>
      <c r="C38" s="4"/>
      <c r="D38" s="4"/>
      <c r="E38" s="4"/>
    </row>
    <row r="45" spans="1:5">
      <c r="A45" t="s">
        <v>48</v>
      </c>
      <c r="B45" t="s">
        <v>45</v>
      </c>
      <c r="C45" t="s">
        <v>40</v>
      </c>
      <c r="D45" t="s">
        <v>46</v>
      </c>
      <c r="E45" t="s">
        <v>47</v>
      </c>
    </row>
    <row r="46" spans="1:5">
      <c r="A46" t="s">
        <v>15</v>
      </c>
      <c r="B46" s="4">
        <v>164</v>
      </c>
      <c r="C46" s="4">
        <v>0</v>
      </c>
      <c r="D46" s="4">
        <v>32</v>
      </c>
      <c r="E46" s="4">
        <v>100</v>
      </c>
    </row>
    <row r="47" spans="1:5">
      <c r="A47" t="s">
        <v>16</v>
      </c>
      <c r="B47">
        <v>13</v>
      </c>
      <c r="C47">
        <f>34+19</f>
        <v>53</v>
      </c>
      <c r="D47">
        <f>12+21</f>
        <v>33</v>
      </c>
      <c r="E47">
        <v>9</v>
      </c>
    </row>
    <row r="48" spans="1:5">
      <c r="A48" t="s">
        <v>17</v>
      </c>
      <c r="B48">
        <v>0</v>
      </c>
      <c r="C48">
        <v>0</v>
      </c>
      <c r="D48">
        <v>0</v>
      </c>
      <c r="E48">
        <v>0</v>
      </c>
    </row>
    <row r="49" spans="1:5">
      <c r="A49" t="s">
        <v>18</v>
      </c>
      <c r="B49">
        <v>17</v>
      </c>
      <c r="C49">
        <v>27</v>
      </c>
      <c r="D49">
        <v>0</v>
      </c>
      <c r="E49">
        <f>198+192</f>
        <v>390</v>
      </c>
    </row>
    <row r="50" spans="1:5">
      <c r="A50" t="s">
        <v>19</v>
      </c>
      <c r="B50">
        <f>26+3</f>
        <v>29</v>
      </c>
      <c r="C50">
        <v>99</v>
      </c>
      <c r="D50">
        <v>13</v>
      </c>
      <c r="E50">
        <f>71+92</f>
        <v>163</v>
      </c>
    </row>
    <row r="51" spans="1:5">
      <c r="A51" t="s">
        <v>49</v>
      </c>
      <c r="B51">
        <v>119</v>
      </c>
      <c r="C51">
        <f>156+106</f>
        <v>262</v>
      </c>
      <c r="D51">
        <f>193+119</f>
        <v>312</v>
      </c>
      <c r="E51">
        <f>49+203</f>
        <v>252</v>
      </c>
    </row>
    <row r="52" spans="1:5">
      <c r="A52" t="s">
        <v>50</v>
      </c>
      <c r="B52">
        <f>83+12</f>
        <v>95</v>
      </c>
      <c r="C52">
        <v>24</v>
      </c>
      <c r="D52">
        <v>141</v>
      </c>
      <c r="E52">
        <v>7</v>
      </c>
    </row>
    <row r="53" spans="1:5">
      <c r="A53" t="s">
        <v>51</v>
      </c>
      <c r="B53">
        <v>6</v>
      </c>
      <c r="C53">
        <v>4</v>
      </c>
      <c r="D53">
        <v>9</v>
      </c>
      <c r="E53">
        <v>28</v>
      </c>
    </row>
    <row r="54" spans="1:5">
      <c r="A54" s="1" t="s">
        <v>52</v>
      </c>
      <c r="B54">
        <f>SUM(B46:B53)</f>
        <v>443</v>
      </c>
      <c r="C54">
        <f>SUM(C46:C53)</f>
        <v>469</v>
      </c>
      <c r="D54">
        <f>SUM(D46:D53)</f>
        <v>540</v>
      </c>
      <c r="E54">
        <f>SUM(E46:E53)</f>
        <v>949</v>
      </c>
    </row>
    <row r="55" spans="1:5">
      <c r="A55" s="1" t="s">
        <v>38</v>
      </c>
      <c r="B55">
        <f>AVERAGE(B46:B53)</f>
        <v>55.375</v>
      </c>
      <c r="C55">
        <f>AVERAGE(C46:C53)</f>
        <v>58.625</v>
      </c>
      <c r="D55">
        <f>AVERAGE(D46:D53)</f>
        <v>67.5</v>
      </c>
      <c r="E55">
        <f>AVERAGE(E46:E53)</f>
        <v>118.625</v>
      </c>
    </row>
    <row r="56" spans="1:5">
      <c r="A56" t="s">
        <v>53</v>
      </c>
      <c r="B56">
        <f>STDEV(B46:B53)</f>
        <v>61.974505126820382</v>
      </c>
      <c r="C56">
        <f>STDEV(C46:C53)</f>
        <v>88.704867800073814</v>
      </c>
      <c r="D56">
        <f>STDEV(D46:D53)</f>
        <v>108.9809944112144</v>
      </c>
      <c r="E56">
        <f>STDEV(E46:E53)</f>
        <v>141.67965626722844</v>
      </c>
    </row>
    <row r="57" spans="1:5">
      <c r="A57" t="s">
        <v>54</v>
      </c>
      <c r="B57">
        <f>B56/SQRT(11)</f>
        <v>18.686016370329117</v>
      </c>
      <c r="C57">
        <f>C56/SQRT(11)</f>
        <v>26.745523960993026</v>
      </c>
      <c r="D57">
        <f>D56/SQRT(11)</f>
        <v>32.859006158346993</v>
      </c>
      <c r="E57">
        <f>E56/SQRT(11)</f>
        <v>42.718023660447422</v>
      </c>
    </row>
    <row r="61" spans="1:5">
      <c r="A61" t="s">
        <v>48</v>
      </c>
      <c r="B61" t="s">
        <v>45</v>
      </c>
      <c r="C61" t="s">
        <v>40</v>
      </c>
      <c r="D61" t="s">
        <v>46</v>
      </c>
      <c r="E61" t="s">
        <v>47</v>
      </c>
    </row>
    <row r="62" spans="1:5">
      <c r="A62" s="1" t="s">
        <v>38</v>
      </c>
      <c r="B62">
        <v>55.375</v>
      </c>
      <c r="C62">
        <v>58.625</v>
      </c>
      <c r="D62">
        <v>67.5</v>
      </c>
      <c r="E62">
        <v>118.625</v>
      </c>
    </row>
    <row r="63" spans="1:5">
      <c r="A63" t="s">
        <v>54</v>
      </c>
      <c r="B63">
        <v>18.686016370329117</v>
      </c>
      <c r="C63">
        <v>26.745523960993026</v>
      </c>
      <c r="D63">
        <v>32.859006158346993</v>
      </c>
      <c r="E63">
        <v>42.718023660447422</v>
      </c>
    </row>
  </sheetData>
  <sortState xmlns:xlrd2="http://schemas.microsoft.com/office/spreadsheetml/2017/richdata2" ref="B31:E41">
    <sortCondition ref="B3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"/>
  <sheetViews>
    <sheetView workbookViewId="0">
      <selection activeCell="B2" sqref="B2:E3"/>
    </sheetView>
  </sheetViews>
  <sheetFormatPr baseColWidth="10" defaultRowHeight="16"/>
  <sheetData>
    <row r="1" spans="1:5">
      <c r="A1" s="4" t="s">
        <v>5</v>
      </c>
      <c r="B1" s="4" t="s">
        <v>44</v>
      </c>
      <c r="C1" s="4" t="s">
        <v>40</v>
      </c>
      <c r="D1" s="4" t="s">
        <v>41</v>
      </c>
      <c r="E1" s="4" t="s">
        <v>42</v>
      </c>
    </row>
    <row r="2" spans="1:5">
      <c r="A2" s="8" t="s">
        <v>55</v>
      </c>
      <c r="B2" s="4">
        <v>26</v>
      </c>
      <c r="C2" s="4">
        <v>99</v>
      </c>
      <c r="D2" s="4">
        <v>4</v>
      </c>
      <c r="E2" s="4">
        <v>71</v>
      </c>
    </row>
    <row r="3" spans="1:5">
      <c r="A3" s="8" t="s">
        <v>56</v>
      </c>
      <c r="B3" s="4">
        <v>3</v>
      </c>
      <c r="C3" s="4">
        <v>0</v>
      </c>
      <c r="D3" s="4">
        <v>9</v>
      </c>
      <c r="E3" s="4">
        <v>92</v>
      </c>
    </row>
    <row r="4" spans="1:5">
      <c r="A4" s="8" t="s">
        <v>43</v>
      </c>
      <c r="B4" s="4">
        <f>AVERAGE(B2:B3)</f>
        <v>14.5</v>
      </c>
      <c r="C4" s="4">
        <f t="shared" ref="C4:E4" si="0">AVERAGE(C2:C3)</f>
        <v>49.5</v>
      </c>
      <c r="D4" s="4">
        <f t="shared" si="0"/>
        <v>6.5</v>
      </c>
      <c r="E4" s="4">
        <f t="shared" si="0"/>
        <v>81.5</v>
      </c>
    </row>
    <row r="5" spans="1:5">
      <c r="A5" s="2"/>
    </row>
    <row r="6" spans="1:5">
      <c r="A6" s="2"/>
    </row>
    <row r="7" spans="1:5">
      <c r="A7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F4"/>
  <sheetViews>
    <sheetView workbookViewId="0">
      <selection activeCell="C2" sqref="C2:F3"/>
    </sheetView>
  </sheetViews>
  <sheetFormatPr baseColWidth="10" defaultRowHeight="16"/>
  <sheetData>
    <row r="1" spans="2:6">
      <c r="B1" s="4" t="s">
        <v>5</v>
      </c>
      <c r="C1" s="4" t="s">
        <v>44</v>
      </c>
      <c r="D1" s="4" t="s">
        <v>40</v>
      </c>
      <c r="E1" s="4" t="s">
        <v>41</v>
      </c>
      <c r="F1" s="4" t="s">
        <v>42</v>
      </c>
    </row>
    <row r="2" spans="2:6">
      <c r="B2" s="8"/>
      <c r="C2" s="4">
        <v>115</v>
      </c>
      <c r="D2" s="4">
        <f>137+19</f>
        <v>156</v>
      </c>
      <c r="E2" s="4">
        <f>120+57+16</f>
        <v>193</v>
      </c>
      <c r="F2" s="4">
        <f>35+14</f>
        <v>49</v>
      </c>
    </row>
    <row r="3" spans="2:6">
      <c r="B3" s="8"/>
      <c r="C3" s="4">
        <v>4</v>
      </c>
      <c r="D3" s="4">
        <f>60+29+17</f>
        <v>106</v>
      </c>
      <c r="E3" s="4">
        <f>60+20+39</f>
        <v>119</v>
      </c>
      <c r="F3" s="4">
        <f>120+44+39</f>
        <v>203</v>
      </c>
    </row>
    <row r="4" spans="2:6">
      <c r="B4" s="8" t="s">
        <v>43</v>
      </c>
      <c r="C4" s="4">
        <f>AVERAGE(C2:C3)</f>
        <v>59.5</v>
      </c>
      <c r="D4" s="4">
        <f t="shared" ref="D4:F4" si="0">AVERAGE(D2:D3)</f>
        <v>131</v>
      </c>
      <c r="E4" s="4">
        <f t="shared" si="0"/>
        <v>156</v>
      </c>
      <c r="F4" s="4">
        <f t="shared" si="0"/>
        <v>126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D1:AI27"/>
  <sheetViews>
    <sheetView topLeftCell="AD1" workbookViewId="0">
      <selection activeCell="AE2" sqref="AE2:AH3"/>
    </sheetView>
  </sheetViews>
  <sheetFormatPr baseColWidth="10" defaultRowHeight="16"/>
  <sheetData>
    <row r="1" spans="30:34">
      <c r="AD1" s="4" t="s">
        <v>5</v>
      </c>
      <c r="AE1" s="4" t="s">
        <v>44</v>
      </c>
      <c r="AF1" s="4" t="s">
        <v>40</v>
      </c>
      <c r="AG1" s="4" t="s">
        <v>41</v>
      </c>
      <c r="AH1" s="4" t="s">
        <v>42</v>
      </c>
    </row>
    <row r="2" spans="30:34">
      <c r="AD2" s="8"/>
      <c r="AE2" s="4">
        <v>83</v>
      </c>
      <c r="AF2" s="4">
        <v>22</v>
      </c>
      <c r="AG2" s="4">
        <v>141</v>
      </c>
      <c r="AH2" s="4">
        <v>6</v>
      </c>
    </row>
    <row r="3" spans="30:34">
      <c r="AD3" s="8"/>
      <c r="AE3" s="4">
        <v>12</v>
      </c>
      <c r="AF3" s="4">
        <v>2</v>
      </c>
      <c r="AG3" s="4">
        <v>0</v>
      </c>
      <c r="AH3" s="4">
        <v>1</v>
      </c>
    </row>
    <row r="4" spans="30:34">
      <c r="AD4" s="8" t="s">
        <v>43</v>
      </c>
      <c r="AE4" s="4">
        <f>AVERAGE(AE2:AE3)</f>
        <v>47.5</v>
      </c>
      <c r="AF4" s="4">
        <f t="shared" ref="AF4:AH4" si="0">AVERAGE(AF2:AF3)</f>
        <v>12</v>
      </c>
      <c r="AG4" s="4">
        <f t="shared" si="0"/>
        <v>70.5</v>
      </c>
      <c r="AH4" s="4">
        <f t="shared" si="0"/>
        <v>3.5</v>
      </c>
    </row>
    <row r="18" spans="35:35">
      <c r="AI18" s="2"/>
    </row>
    <row r="19" spans="35:35">
      <c r="AI19" s="2"/>
    </row>
    <row r="20" spans="35:35">
      <c r="AI20" s="2"/>
    </row>
    <row r="21" spans="35:35">
      <c r="AI21" s="2"/>
    </row>
    <row r="22" spans="35:35">
      <c r="AI22" s="2"/>
    </row>
    <row r="23" spans="35:35">
      <c r="AI23" s="2"/>
    </row>
    <row r="24" spans="35:35">
      <c r="AI24" s="3"/>
    </row>
    <row r="25" spans="35:35">
      <c r="AI25" s="3"/>
    </row>
    <row r="26" spans="35:35">
      <c r="AI26" s="3"/>
    </row>
    <row r="27" spans="35:35">
      <c r="AI27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B2" sqref="B2:E3"/>
    </sheetView>
  </sheetViews>
  <sheetFormatPr baseColWidth="10" defaultRowHeight="16"/>
  <sheetData>
    <row r="1" spans="1:5">
      <c r="A1" s="4" t="s">
        <v>5</v>
      </c>
      <c r="B1" s="4" t="s">
        <v>44</v>
      </c>
      <c r="C1" s="4" t="s">
        <v>40</v>
      </c>
      <c r="D1" s="4" t="s">
        <v>41</v>
      </c>
      <c r="E1" s="4" t="s">
        <v>42</v>
      </c>
    </row>
    <row r="2" spans="1:5">
      <c r="A2" s="8"/>
      <c r="B2" s="4">
        <v>5</v>
      </c>
      <c r="C2" s="4">
        <v>3</v>
      </c>
      <c r="D2" s="4">
        <v>8</v>
      </c>
      <c r="E2" s="4">
        <v>14</v>
      </c>
    </row>
    <row r="3" spans="1:5">
      <c r="A3" s="8"/>
      <c r="B3" s="4">
        <v>1</v>
      </c>
      <c r="C3" s="4">
        <v>1</v>
      </c>
      <c r="D3" s="4">
        <v>1</v>
      </c>
      <c r="E3" s="4">
        <v>14</v>
      </c>
    </row>
    <row r="4" spans="1:5">
      <c r="A4" s="8" t="s">
        <v>43</v>
      </c>
      <c r="B4" s="4">
        <f>AVERAGE(B2:B3)</f>
        <v>3</v>
      </c>
      <c r="C4" s="4">
        <f t="shared" ref="C4:E4" si="0">AVERAGE(C2:C3)</f>
        <v>2</v>
      </c>
      <c r="D4" s="4">
        <f t="shared" si="0"/>
        <v>4.5</v>
      </c>
      <c r="E4" s="4">
        <f t="shared" si="0"/>
        <v>14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J33" sqref="J33"/>
    </sheetView>
  </sheetViews>
  <sheetFormatPr baseColWidth="10" defaultRowHeight="16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A81FA-F26F-2746-9468-CD3498C2BE33}">
  <dimension ref="A1:G17"/>
  <sheetViews>
    <sheetView tabSelected="1" workbookViewId="0">
      <selection activeCell="A18" sqref="A18"/>
    </sheetView>
  </sheetViews>
  <sheetFormatPr baseColWidth="10" defaultRowHeight="16"/>
  <cols>
    <col min="1" max="1" width="15.6640625" customWidth="1"/>
  </cols>
  <sheetData>
    <row r="1" spans="1:7">
      <c r="A1" t="s">
        <v>61</v>
      </c>
      <c r="B1" t="s">
        <v>62</v>
      </c>
      <c r="C1" t="s">
        <v>0</v>
      </c>
      <c r="D1" t="s">
        <v>44</v>
      </c>
      <c r="E1" t="s">
        <v>63</v>
      </c>
      <c r="F1" t="s">
        <v>64</v>
      </c>
      <c r="G1" t="s">
        <v>65</v>
      </c>
    </row>
    <row r="2" spans="1:7">
      <c r="A2" t="s">
        <v>66</v>
      </c>
      <c r="B2">
        <v>3</v>
      </c>
      <c r="C2">
        <v>1</v>
      </c>
      <c r="D2" s="4">
        <v>0</v>
      </c>
      <c r="E2" s="4">
        <v>0</v>
      </c>
      <c r="F2" s="4">
        <v>4</v>
      </c>
      <c r="G2" s="4">
        <v>1</v>
      </c>
    </row>
    <row r="3" spans="1:7">
      <c r="A3" t="s">
        <v>66</v>
      </c>
      <c r="B3">
        <v>3</v>
      </c>
      <c r="C3">
        <v>2</v>
      </c>
      <c r="D3" s="4">
        <v>164</v>
      </c>
      <c r="E3" s="4">
        <v>0</v>
      </c>
      <c r="F3" s="4">
        <v>28</v>
      </c>
      <c r="G3" s="4">
        <v>99</v>
      </c>
    </row>
    <row r="4" spans="1:7">
      <c r="A4" t="s">
        <v>67</v>
      </c>
      <c r="B4">
        <v>4</v>
      </c>
      <c r="C4">
        <v>1</v>
      </c>
      <c r="D4" s="4">
        <v>4</v>
      </c>
      <c r="E4" s="4">
        <v>34</v>
      </c>
      <c r="F4" s="4">
        <v>12</v>
      </c>
      <c r="G4" s="4">
        <v>3</v>
      </c>
    </row>
    <row r="5" spans="1:7">
      <c r="A5" t="s">
        <v>67</v>
      </c>
      <c r="B5">
        <v>4</v>
      </c>
      <c r="C5">
        <v>2</v>
      </c>
      <c r="D5" s="4">
        <v>9</v>
      </c>
      <c r="E5" s="4">
        <v>19</v>
      </c>
      <c r="F5" s="4">
        <v>21</v>
      </c>
      <c r="G5" s="4">
        <v>6</v>
      </c>
    </row>
    <row r="6" spans="1:7">
      <c r="A6" t="s">
        <v>68</v>
      </c>
      <c r="B6">
        <v>6</v>
      </c>
      <c r="C6">
        <v>1</v>
      </c>
      <c r="D6" s="4">
        <v>0</v>
      </c>
      <c r="E6" s="4">
        <v>0</v>
      </c>
      <c r="F6" s="4">
        <v>0</v>
      </c>
      <c r="G6" s="4">
        <v>0</v>
      </c>
    </row>
    <row r="7" spans="1:7">
      <c r="A7" t="s">
        <v>68</v>
      </c>
      <c r="B7">
        <v>6</v>
      </c>
      <c r="C7">
        <v>2</v>
      </c>
      <c r="D7" s="4">
        <v>0</v>
      </c>
      <c r="E7" s="4">
        <v>0</v>
      </c>
      <c r="F7" s="4">
        <v>0</v>
      </c>
      <c r="G7" s="4">
        <v>0</v>
      </c>
    </row>
    <row r="8" spans="1:7">
      <c r="A8" t="s">
        <v>69</v>
      </c>
      <c r="B8">
        <v>7</v>
      </c>
      <c r="C8">
        <v>1</v>
      </c>
      <c r="D8" s="4">
        <v>17</v>
      </c>
      <c r="E8" s="4">
        <v>23</v>
      </c>
      <c r="F8" s="4">
        <v>0</v>
      </c>
      <c r="G8" s="4">
        <v>198</v>
      </c>
    </row>
    <row r="9" spans="1:7">
      <c r="A9" t="s">
        <v>69</v>
      </c>
      <c r="B9">
        <v>7</v>
      </c>
      <c r="C9">
        <v>2</v>
      </c>
      <c r="D9" s="4">
        <v>0</v>
      </c>
      <c r="E9" s="4">
        <v>4</v>
      </c>
      <c r="F9" s="4">
        <v>0</v>
      </c>
      <c r="G9" s="4">
        <v>192</v>
      </c>
    </row>
    <row r="10" spans="1:7">
      <c r="A10" t="s">
        <v>70</v>
      </c>
      <c r="B10">
        <v>8</v>
      </c>
      <c r="C10">
        <v>1</v>
      </c>
      <c r="D10" s="4">
        <v>26</v>
      </c>
      <c r="E10" s="4">
        <v>99</v>
      </c>
      <c r="F10" s="4">
        <v>4</v>
      </c>
      <c r="G10" s="4">
        <v>71</v>
      </c>
    </row>
    <row r="11" spans="1:7">
      <c r="A11" t="s">
        <v>70</v>
      </c>
      <c r="B11">
        <v>8</v>
      </c>
      <c r="C11">
        <v>2</v>
      </c>
      <c r="D11" s="4">
        <v>3</v>
      </c>
      <c r="E11" s="4">
        <v>0</v>
      </c>
      <c r="F11" s="4">
        <v>9</v>
      </c>
      <c r="G11" s="4">
        <v>92</v>
      </c>
    </row>
    <row r="12" spans="1:7">
      <c r="A12" t="s">
        <v>71</v>
      </c>
      <c r="B12">
        <v>9</v>
      </c>
      <c r="C12">
        <v>1</v>
      </c>
      <c r="D12" s="4">
        <v>115</v>
      </c>
      <c r="E12" s="4">
        <v>156</v>
      </c>
      <c r="F12" s="4">
        <v>193</v>
      </c>
      <c r="G12" s="4">
        <v>49</v>
      </c>
    </row>
    <row r="13" spans="1:7">
      <c r="A13" t="s">
        <v>71</v>
      </c>
      <c r="B13">
        <v>9</v>
      </c>
      <c r="C13">
        <v>2</v>
      </c>
      <c r="D13" s="4">
        <v>4</v>
      </c>
      <c r="E13" s="4">
        <v>106</v>
      </c>
      <c r="F13" s="4">
        <v>119</v>
      </c>
      <c r="G13" s="4">
        <v>203</v>
      </c>
    </row>
    <row r="14" spans="1:7">
      <c r="A14" t="s">
        <v>72</v>
      </c>
      <c r="B14">
        <v>10</v>
      </c>
      <c r="C14">
        <v>1</v>
      </c>
      <c r="D14" s="4">
        <v>83</v>
      </c>
      <c r="E14" s="4">
        <v>22</v>
      </c>
      <c r="F14" s="4">
        <v>141</v>
      </c>
      <c r="G14" s="4">
        <v>6</v>
      </c>
    </row>
    <row r="15" spans="1:7">
      <c r="A15" t="s">
        <v>72</v>
      </c>
      <c r="B15">
        <v>10</v>
      </c>
      <c r="C15">
        <v>2</v>
      </c>
      <c r="D15" s="4">
        <v>12</v>
      </c>
      <c r="E15" s="4">
        <v>2</v>
      </c>
      <c r="F15" s="4">
        <v>0</v>
      </c>
      <c r="G15" s="4">
        <v>1</v>
      </c>
    </row>
    <row r="16" spans="1:7">
      <c r="A16" t="s">
        <v>73</v>
      </c>
      <c r="B16">
        <v>11</v>
      </c>
      <c r="C16">
        <v>1</v>
      </c>
      <c r="D16" s="4">
        <v>5</v>
      </c>
      <c r="E16" s="4">
        <v>3</v>
      </c>
      <c r="F16" s="4">
        <v>8</v>
      </c>
      <c r="G16" s="4">
        <v>14</v>
      </c>
    </row>
    <row r="17" spans="1:7">
      <c r="A17" t="s">
        <v>73</v>
      </c>
      <c r="B17">
        <v>11</v>
      </c>
      <c r="C17">
        <v>2</v>
      </c>
      <c r="D17" s="4">
        <v>1</v>
      </c>
      <c r="E17" s="4">
        <v>1</v>
      </c>
      <c r="F17" s="4">
        <v>1</v>
      </c>
      <c r="G17" s="4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34" sqref="B34"/>
    </sheetView>
  </sheetViews>
  <sheetFormatPr baseColWidth="10" defaultRowHeight="16"/>
  <cols>
    <col min="2" max="2" width="28.1640625" bestFit="1" customWidth="1"/>
  </cols>
  <sheetData>
    <row r="1" spans="1:3" s="1" customFormat="1">
      <c r="A1" s="1" t="s">
        <v>0</v>
      </c>
      <c r="B1" s="1" t="s">
        <v>3</v>
      </c>
      <c r="C1" s="1" t="s">
        <v>4</v>
      </c>
    </row>
    <row r="2" spans="1:3">
      <c r="A2">
        <v>1</v>
      </c>
      <c r="B2">
        <f>50/60*100</f>
        <v>83.333333333333343</v>
      </c>
      <c r="C2">
        <v>0</v>
      </c>
    </row>
    <row r="3" spans="1:3">
      <c r="A3">
        <v>2</v>
      </c>
      <c r="B3">
        <f>48/60*100</f>
        <v>80</v>
      </c>
      <c r="C3">
        <v>0</v>
      </c>
    </row>
    <row r="4" spans="1:3">
      <c r="A4">
        <v>3</v>
      </c>
      <c r="B4">
        <f>3/60*100</f>
        <v>5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D39" sqref="D39"/>
    </sheetView>
  </sheetViews>
  <sheetFormatPr baseColWidth="10" defaultRowHeight="16"/>
  <cols>
    <col min="2" max="2" width="28.83203125" customWidth="1"/>
    <col min="3" max="3" width="31.6640625" bestFit="1" customWidth="1"/>
  </cols>
  <sheetData>
    <row r="1" spans="1:7" s="1" customFormat="1">
      <c r="A1" s="1" t="s">
        <v>0</v>
      </c>
      <c r="B1" s="1" t="s">
        <v>3</v>
      </c>
      <c r="C1" s="1" t="s">
        <v>4</v>
      </c>
      <c r="D1" s="1" t="s">
        <v>6</v>
      </c>
      <c r="F1" s="1" t="s">
        <v>7</v>
      </c>
      <c r="G1" s="1" t="s">
        <v>8</v>
      </c>
    </row>
    <row r="2" spans="1:7">
      <c r="A2">
        <v>1</v>
      </c>
      <c r="B2">
        <v>50</v>
      </c>
      <c r="C2">
        <v>0</v>
      </c>
      <c r="D2">
        <f>B2/(B2+C2)</f>
        <v>1</v>
      </c>
      <c r="F2">
        <v>3.5</v>
      </c>
      <c r="G2">
        <v>0</v>
      </c>
    </row>
    <row r="3" spans="1:7">
      <c r="A3">
        <v>2</v>
      </c>
      <c r="B3">
        <v>49</v>
      </c>
      <c r="C3">
        <v>0</v>
      </c>
      <c r="D3">
        <f>B3/(B3+C3)</f>
        <v>1</v>
      </c>
      <c r="F3">
        <v>3.5</v>
      </c>
      <c r="G3">
        <v>110</v>
      </c>
    </row>
    <row r="4" spans="1:7">
      <c r="A4">
        <v>3</v>
      </c>
      <c r="B4">
        <v>45</v>
      </c>
      <c r="C4">
        <v>72</v>
      </c>
      <c r="D4">
        <f>B4/(B4+C4)</f>
        <v>0.38461538461538464</v>
      </c>
      <c r="F4">
        <v>7.5</v>
      </c>
      <c r="G4">
        <v>0</v>
      </c>
    </row>
    <row r="5" spans="1:7">
      <c r="A5">
        <v>4</v>
      </c>
      <c r="B5">
        <v>66</v>
      </c>
      <c r="C5">
        <v>90</v>
      </c>
      <c r="D5">
        <f t="shared" ref="D5:D11" si="0">B5/(B5+C5)</f>
        <v>0.42307692307692307</v>
      </c>
      <c r="F5">
        <v>7.5</v>
      </c>
      <c r="G5">
        <v>110</v>
      </c>
    </row>
    <row r="6" spans="1:7">
      <c r="A6">
        <v>5</v>
      </c>
      <c r="B6">
        <v>45</v>
      </c>
      <c r="C6">
        <v>0</v>
      </c>
      <c r="D6">
        <f t="shared" si="0"/>
        <v>1</v>
      </c>
    </row>
    <row r="7" spans="1:7">
      <c r="A7">
        <v>6</v>
      </c>
      <c r="B7">
        <f>27/60*100</f>
        <v>45</v>
      </c>
      <c r="C7">
        <f>28/60*100</f>
        <v>46.666666666666664</v>
      </c>
      <c r="D7">
        <f t="shared" si="0"/>
        <v>0.49090909090909096</v>
      </c>
    </row>
    <row r="8" spans="1:7">
      <c r="A8">
        <v>7</v>
      </c>
      <c r="B8">
        <f>14/60*100</f>
        <v>23.333333333333332</v>
      </c>
      <c r="C8">
        <f>26/60*100</f>
        <v>43.333333333333336</v>
      </c>
      <c r="D8">
        <f t="shared" si="0"/>
        <v>0.35</v>
      </c>
    </row>
    <row r="9" spans="1:7">
      <c r="A9">
        <v>8</v>
      </c>
      <c r="B9">
        <f>35/60*100</f>
        <v>58.333333333333336</v>
      </c>
      <c r="C9">
        <f>48/60*100</f>
        <v>80</v>
      </c>
      <c r="D9">
        <f t="shared" si="0"/>
        <v>0.42168674698795178</v>
      </c>
    </row>
    <row r="10" spans="1:7">
      <c r="A10">
        <v>9</v>
      </c>
      <c r="B10">
        <v>0</v>
      </c>
      <c r="C10">
        <v>0</v>
      </c>
      <c r="D10">
        <v>0</v>
      </c>
    </row>
    <row r="11" spans="1:7">
      <c r="A11">
        <v>10</v>
      </c>
      <c r="B11">
        <f>13/60*100</f>
        <v>21.666666666666668</v>
      </c>
      <c r="C11">
        <v>0</v>
      </c>
      <c r="D11">
        <f t="shared" si="0"/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workbookViewId="0">
      <selection activeCell="B2" sqref="B2:E3"/>
    </sheetView>
  </sheetViews>
  <sheetFormatPr baseColWidth="10" defaultRowHeight="16"/>
  <cols>
    <col min="4" max="4" width="28.1640625" bestFit="1" customWidth="1"/>
    <col min="5" max="5" width="31.6640625" bestFit="1" customWidth="1"/>
  </cols>
  <sheetData>
    <row r="1" spans="1:7" s="1" customFormat="1">
      <c r="A1" s="4" t="s">
        <v>5</v>
      </c>
      <c r="B1" s="4" t="s">
        <v>44</v>
      </c>
      <c r="C1" s="4" t="s">
        <v>40</v>
      </c>
      <c r="D1" s="4" t="s">
        <v>41</v>
      </c>
      <c r="E1" s="4" t="s">
        <v>42</v>
      </c>
      <c r="F1"/>
      <c r="G1"/>
    </row>
    <row r="2" spans="1:7">
      <c r="A2" s="8"/>
      <c r="B2" s="4">
        <v>0</v>
      </c>
      <c r="C2" s="4">
        <v>0</v>
      </c>
      <c r="D2" s="4">
        <v>4</v>
      </c>
      <c r="E2" s="4">
        <v>1</v>
      </c>
    </row>
    <row r="3" spans="1:7">
      <c r="A3" s="8"/>
      <c r="B3" s="4">
        <v>164</v>
      </c>
      <c r="C3" s="4">
        <v>0</v>
      </c>
      <c r="D3" s="4">
        <v>28</v>
      </c>
      <c r="E3" s="4">
        <v>99</v>
      </c>
    </row>
    <row r="4" spans="1:7">
      <c r="A4" s="8" t="s">
        <v>43</v>
      </c>
      <c r="B4" s="4">
        <f>AVERAGE(B2:B3)</f>
        <v>82</v>
      </c>
      <c r="C4" s="4">
        <f t="shared" ref="C4:E4" si="0">AVERAGE(C2:C3)</f>
        <v>0</v>
      </c>
      <c r="D4" s="4">
        <f t="shared" si="0"/>
        <v>16</v>
      </c>
      <c r="E4" s="4">
        <f t="shared" si="0"/>
        <v>50</v>
      </c>
    </row>
    <row r="5" spans="1:7">
      <c r="A5" s="3"/>
    </row>
    <row r="6" spans="1:7">
      <c r="A6" s="3"/>
    </row>
    <row r="7" spans="1:7">
      <c r="A7" s="3"/>
    </row>
    <row r="8" spans="1:7">
      <c r="A8" s="3"/>
    </row>
    <row r="9" spans="1:7">
      <c r="A9" s="3"/>
    </row>
    <row r="10" spans="1:7">
      <c r="A10" s="3"/>
    </row>
    <row r="11" spans="1:7">
      <c r="A11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>
      <selection activeCell="B2" sqref="B2:E3"/>
    </sheetView>
  </sheetViews>
  <sheetFormatPr baseColWidth="10" defaultRowHeight="16"/>
  <sheetData>
    <row r="1" spans="1:7" s="1" customFormat="1">
      <c r="A1" t="s">
        <v>5</v>
      </c>
      <c r="B1" t="s">
        <v>44</v>
      </c>
      <c r="C1" t="s">
        <v>40</v>
      </c>
      <c r="D1" t="s">
        <v>41</v>
      </c>
      <c r="E1" t="s">
        <v>42</v>
      </c>
      <c r="F1"/>
      <c r="G1"/>
    </row>
    <row r="2" spans="1:7">
      <c r="A2" s="3"/>
      <c r="B2">
        <v>4</v>
      </c>
      <c r="C2">
        <v>34</v>
      </c>
      <c r="D2">
        <v>12</v>
      </c>
      <c r="E2">
        <v>3</v>
      </c>
    </row>
    <row r="3" spans="1:7">
      <c r="A3" s="3"/>
      <c r="B3">
        <v>9</v>
      </c>
      <c r="C3">
        <v>19</v>
      </c>
      <c r="D3">
        <v>21</v>
      </c>
      <c r="E3">
        <v>6</v>
      </c>
    </row>
    <row r="4" spans="1:7">
      <c r="A4" s="3" t="s">
        <v>43</v>
      </c>
      <c r="B4">
        <f>AVERAGE(B2:B3)</f>
        <v>6.5</v>
      </c>
      <c r="C4">
        <f>AVERAGE(C2:C3)</f>
        <v>26.5</v>
      </c>
      <c r="D4">
        <f t="shared" ref="D4:E4" si="0">AVERAGE(D2:D3)</f>
        <v>16.5</v>
      </c>
      <c r="E4">
        <f t="shared" si="0"/>
        <v>4.5</v>
      </c>
    </row>
    <row r="5" spans="1:7">
      <c r="A5" s="2"/>
    </row>
    <row r="6" spans="1:7">
      <c r="A6" s="2"/>
    </row>
    <row r="7" spans="1:7">
      <c r="A7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C34" sqref="C34"/>
    </sheetView>
  </sheetViews>
  <sheetFormatPr baseColWidth="10" defaultRowHeight="16"/>
  <cols>
    <col min="2" max="2" width="26.83203125" bestFit="1" customWidth="1"/>
    <col min="3" max="3" width="31.1640625" bestFit="1" customWidth="1"/>
  </cols>
  <sheetData>
    <row r="1" spans="1:3" s="1" customFormat="1">
      <c r="A1" s="1" t="s">
        <v>0</v>
      </c>
      <c r="B1" s="1" t="s">
        <v>1</v>
      </c>
      <c r="C1" s="1" t="s">
        <v>2</v>
      </c>
    </row>
    <row r="2" spans="1:3">
      <c r="A2">
        <v>1</v>
      </c>
      <c r="B2">
        <f>34/60*100</f>
        <v>56.666666666666664</v>
      </c>
      <c r="C2">
        <f>37/60*100</f>
        <v>61.666666666666671</v>
      </c>
    </row>
    <row r="3" spans="1:3">
      <c r="A3">
        <v>2</v>
      </c>
      <c r="B3">
        <f>8/60*100</f>
        <v>13.333333333333334</v>
      </c>
      <c r="C3">
        <f>35/60*100</f>
        <v>58.333333333333336</v>
      </c>
    </row>
    <row r="4" spans="1:3">
      <c r="A4">
        <v>3</v>
      </c>
      <c r="B4">
        <v>0</v>
      </c>
      <c r="C4">
        <f>60/60*100</f>
        <v>100</v>
      </c>
    </row>
    <row r="5" spans="1:3">
      <c r="A5">
        <v>4</v>
      </c>
    </row>
    <row r="6" spans="1:3">
      <c r="A6">
        <v>5</v>
      </c>
    </row>
    <row r="7" spans="1:3">
      <c r="A7">
        <v>6</v>
      </c>
    </row>
    <row r="8" spans="1:3">
      <c r="A8">
        <v>7</v>
      </c>
    </row>
    <row r="9" spans="1:3">
      <c r="A9">
        <v>8</v>
      </c>
    </row>
    <row r="10" spans="1:3">
      <c r="A10">
        <v>9</v>
      </c>
    </row>
    <row r="11" spans="1:3">
      <c r="A1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B2" sqref="B2:E3"/>
    </sheetView>
  </sheetViews>
  <sheetFormatPr baseColWidth="10" defaultRowHeight="16"/>
  <sheetData>
    <row r="1" spans="1:5">
      <c r="A1" s="4" t="s">
        <v>5</v>
      </c>
      <c r="B1" s="4" t="s">
        <v>44</v>
      </c>
      <c r="C1" s="4" t="s">
        <v>40</v>
      </c>
      <c r="D1" s="4" t="s">
        <v>41</v>
      </c>
      <c r="E1" s="4" t="s">
        <v>42</v>
      </c>
    </row>
    <row r="2" spans="1:5">
      <c r="A2" s="8"/>
      <c r="B2" s="4">
        <v>0</v>
      </c>
      <c r="C2" s="4">
        <v>0</v>
      </c>
      <c r="D2" s="4">
        <v>0</v>
      </c>
      <c r="E2" s="4">
        <v>0</v>
      </c>
    </row>
    <row r="3" spans="1:5">
      <c r="A3" s="8"/>
      <c r="B3" s="4">
        <v>0</v>
      </c>
      <c r="C3" s="4">
        <v>0</v>
      </c>
      <c r="D3" s="4">
        <v>0</v>
      </c>
      <c r="E3" s="4">
        <v>0</v>
      </c>
    </row>
    <row r="4" spans="1:5">
      <c r="A4" s="8" t="s">
        <v>43</v>
      </c>
      <c r="B4" s="4">
        <f>AVERAGE(B2:B3)</f>
        <v>0</v>
      </c>
      <c r="C4" s="4">
        <f t="shared" ref="C4:E4" si="0">AVERAGE(C2:C3)</f>
        <v>0</v>
      </c>
      <c r="D4" s="4">
        <f t="shared" si="0"/>
        <v>0</v>
      </c>
      <c r="E4" s="4">
        <f t="shared" si="0"/>
        <v>0</v>
      </c>
    </row>
    <row r="5" spans="1:5">
      <c r="A5" s="2"/>
    </row>
    <row r="6" spans="1:5">
      <c r="A6" s="3"/>
    </row>
    <row r="7" spans="1:5">
      <c r="A7" s="3"/>
    </row>
    <row r="8" spans="1:5">
      <c r="A8" s="3"/>
    </row>
    <row r="9" spans="1:5">
      <c r="A9" s="3"/>
    </row>
    <row r="10" spans="1:5">
      <c r="A10" s="3"/>
    </row>
    <row r="11" spans="1:5">
      <c r="A11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9"/>
  <sheetViews>
    <sheetView workbookViewId="0">
      <selection activeCell="B2" sqref="B2:E3"/>
    </sheetView>
  </sheetViews>
  <sheetFormatPr baseColWidth="10" defaultRowHeight="16"/>
  <sheetData>
    <row r="1" spans="1:7">
      <c r="A1" t="s">
        <v>5</v>
      </c>
      <c r="B1" t="s">
        <v>44</v>
      </c>
      <c r="C1" t="s">
        <v>40</v>
      </c>
      <c r="D1" t="s">
        <v>41</v>
      </c>
      <c r="E1" t="s">
        <v>42</v>
      </c>
      <c r="F1" t="s">
        <v>7</v>
      </c>
      <c r="G1" t="s">
        <v>8</v>
      </c>
    </row>
    <row r="2" spans="1:7">
      <c r="A2" s="3"/>
      <c r="B2">
        <v>17</v>
      </c>
      <c r="C2">
        <v>23</v>
      </c>
      <c r="D2">
        <v>0</v>
      </c>
      <c r="E2">
        <v>198</v>
      </c>
    </row>
    <row r="3" spans="1:7">
      <c r="A3" s="3"/>
      <c r="B3">
        <v>0</v>
      </c>
      <c r="C3">
        <v>4</v>
      </c>
      <c r="D3">
        <v>0</v>
      </c>
      <c r="E3">
        <v>192</v>
      </c>
    </row>
    <row r="4" spans="1:7">
      <c r="A4" s="3" t="s">
        <v>43</v>
      </c>
      <c r="B4">
        <f>AVERAGE(B2:B3)</f>
        <v>8.5</v>
      </c>
      <c r="C4">
        <f t="shared" ref="C4:E4" si="0">AVERAGE(C2:C3)</f>
        <v>13.5</v>
      </c>
      <c r="D4">
        <f t="shared" si="0"/>
        <v>0</v>
      </c>
      <c r="E4">
        <f t="shared" si="0"/>
        <v>195</v>
      </c>
    </row>
    <row r="5" spans="1:7">
      <c r="A5" s="3"/>
    </row>
    <row r="6" spans="1:7">
      <c r="A6" s="3"/>
    </row>
    <row r="7" spans="1:7">
      <c r="A7" s="3"/>
    </row>
    <row r="8" spans="1:7">
      <c r="A8" s="3"/>
    </row>
    <row r="9" spans="1:7">
      <c r="A9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Averages</vt:lpstr>
      <vt:lpstr>MASTER</vt:lpstr>
      <vt:lpstr>P1_Kobe&amp;Ian</vt:lpstr>
      <vt:lpstr>P2_Sally&amp;Vanya</vt:lpstr>
      <vt:lpstr>P3_Rocky&amp;Oaky</vt:lpstr>
      <vt:lpstr>P4_Rosie&amp;Carlie</vt:lpstr>
      <vt:lpstr>P5_Koda&amp;Ava</vt:lpstr>
      <vt:lpstr>P6_Kodi &amp; Kaia</vt:lpstr>
      <vt:lpstr>P7_Dax &amp; Fiona</vt:lpstr>
      <vt:lpstr>P8_Misha&amp;Houston</vt:lpstr>
      <vt:lpstr>P9_Gunner&amp;Cato</vt:lpstr>
      <vt:lpstr>P10_Coffee&amp;Mason</vt:lpstr>
      <vt:lpstr>P11_Rev&amp;Blitz</vt:lpstr>
      <vt:lpstr>P12_Magnum&amp;Toby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R. Mehrkam</dc:creator>
  <cp:lastModifiedBy>Microsoft Office User</cp:lastModifiedBy>
  <dcterms:created xsi:type="dcterms:W3CDTF">2013-11-05T04:58:56Z</dcterms:created>
  <dcterms:modified xsi:type="dcterms:W3CDTF">2020-03-26T22:50:41Z</dcterms:modified>
</cp:coreProperties>
</file>